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GOREDCC" sheetId="1" r:id="rId1"/>
  </sheets>
  <calcPr calcId="145621"/>
</workbook>
</file>

<file path=xl/calcChain.xml><?xml version="1.0" encoding="utf-8"?>
<calcChain xmlns="http://schemas.openxmlformats.org/spreadsheetml/2006/main">
  <c r="A1" i="1" l="1"/>
  <c r="B1" i="1"/>
  <c r="C1" i="1"/>
  <c r="A2" i="1"/>
  <c r="B2" i="1"/>
  <c r="C2" i="1"/>
  <c r="D2" i="1"/>
  <c r="E2" i="1"/>
  <c r="B3" i="1"/>
  <c r="A4" i="1"/>
  <c r="B4" i="1"/>
  <c r="C4" i="1"/>
  <c r="D4" i="1"/>
  <c r="E4" i="1"/>
  <c r="A6" i="1"/>
  <c r="B6" i="1"/>
  <c r="C6" i="1"/>
  <c r="A7" i="1"/>
  <c r="B7" i="1"/>
  <c r="C7" i="1"/>
  <c r="D7" i="1"/>
  <c r="E7" i="1"/>
  <c r="A10" i="1"/>
  <c r="B10" i="1"/>
  <c r="C10" i="1"/>
  <c r="A11" i="1"/>
  <c r="B11" i="1"/>
  <c r="C11" i="1"/>
  <c r="D11" i="1"/>
  <c r="E11" i="1"/>
  <c r="A14" i="1"/>
  <c r="B14" i="1"/>
  <c r="C14" i="1"/>
  <c r="A15" i="1"/>
  <c r="B15" i="1"/>
  <c r="C15" i="1"/>
  <c r="D15" i="1"/>
  <c r="E15" i="1"/>
  <c r="A18" i="1"/>
  <c r="B18" i="1"/>
  <c r="C18" i="1"/>
  <c r="A19" i="1"/>
  <c r="B19" i="1"/>
  <c r="C19" i="1"/>
  <c r="D19" i="1"/>
  <c r="E19" i="1"/>
  <c r="A22" i="1"/>
  <c r="B22" i="1"/>
  <c r="C22" i="1"/>
  <c r="A23" i="1"/>
  <c r="B23" i="1"/>
  <c r="C23" i="1"/>
  <c r="D23" i="1"/>
  <c r="E23" i="1"/>
  <c r="A26" i="1"/>
  <c r="B26" i="1"/>
  <c r="C26" i="1"/>
  <c r="A27" i="1"/>
  <c r="B27" i="1"/>
  <c r="C27" i="1"/>
  <c r="D27" i="1"/>
  <c r="E27" i="1"/>
  <c r="A30" i="1"/>
  <c r="B30" i="1"/>
  <c r="C30" i="1"/>
  <c r="A31" i="1"/>
  <c r="B31" i="1"/>
  <c r="C31" i="1"/>
  <c r="D31" i="1"/>
  <c r="E31" i="1"/>
  <c r="A34" i="1"/>
  <c r="B34" i="1"/>
  <c r="C34" i="1"/>
  <c r="A35" i="1"/>
  <c r="B35" i="1"/>
  <c r="C35" i="1"/>
  <c r="D35" i="1"/>
  <c r="E35" i="1"/>
  <c r="A38" i="1"/>
  <c r="B38" i="1"/>
  <c r="C38" i="1"/>
  <c r="A39" i="1"/>
  <c r="B39" i="1"/>
  <c r="C39" i="1"/>
  <c r="D39" i="1"/>
  <c r="E39" i="1"/>
  <c r="A42" i="1"/>
  <c r="B42" i="1"/>
  <c r="C42" i="1"/>
  <c r="A43" i="1"/>
  <c r="B43" i="1"/>
  <c r="C43" i="1"/>
  <c r="D43" i="1"/>
  <c r="E43" i="1"/>
  <c r="A46" i="1"/>
  <c r="B46" i="1"/>
  <c r="C46" i="1"/>
  <c r="A47" i="1"/>
  <c r="B47" i="1"/>
  <c r="C47" i="1"/>
  <c r="D47" i="1"/>
  <c r="E47" i="1"/>
  <c r="A50" i="1"/>
  <c r="B50" i="1"/>
  <c r="C50" i="1"/>
  <c r="A51" i="1"/>
  <c r="B51" i="1"/>
  <c r="C51" i="1"/>
  <c r="D51" i="1"/>
  <c r="E51" i="1"/>
  <c r="A54" i="1"/>
  <c r="B54" i="1"/>
  <c r="C54" i="1"/>
  <c r="A55" i="1"/>
  <c r="B55" i="1"/>
  <c r="C55" i="1"/>
  <c r="D55" i="1"/>
  <c r="E55" i="1"/>
  <c r="A58" i="1"/>
  <c r="B58" i="1"/>
  <c r="C58" i="1"/>
  <c r="A59" i="1"/>
  <c r="B59" i="1"/>
  <c r="C59" i="1"/>
  <c r="D59" i="1"/>
  <c r="E59" i="1"/>
  <c r="A61" i="1"/>
  <c r="B61" i="1"/>
  <c r="C61" i="1"/>
  <c r="A62" i="1"/>
  <c r="B62" i="1"/>
  <c r="C62" i="1"/>
  <c r="D62" i="1"/>
  <c r="E62" i="1"/>
  <c r="B63" i="1"/>
  <c r="A64" i="1"/>
  <c r="B64" i="1"/>
  <c r="C64" i="1"/>
  <c r="D64" i="1"/>
  <c r="E64" i="1"/>
  <c r="A66" i="1"/>
  <c r="B66" i="1"/>
  <c r="C66" i="1"/>
  <c r="A67" i="1"/>
  <c r="B67" i="1"/>
  <c r="C67" i="1"/>
  <c r="D67" i="1"/>
  <c r="E67" i="1"/>
  <c r="A70" i="1"/>
  <c r="B70" i="1"/>
  <c r="C70" i="1"/>
  <c r="A71" i="1"/>
  <c r="B71" i="1"/>
  <c r="C71" i="1"/>
  <c r="D71" i="1"/>
  <c r="E71" i="1"/>
  <c r="A74" i="1"/>
  <c r="B74" i="1"/>
  <c r="C74" i="1"/>
  <c r="A75" i="1"/>
  <c r="B75" i="1"/>
  <c r="C75" i="1"/>
  <c r="D75" i="1"/>
  <c r="E75" i="1"/>
  <c r="A78" i="1"/>
  <c r="B78" i="1"/>
  <c r="C78" i="1"/>
  <c r="A79" i="1"/>
  <c r="B79" i="1"/>
  <c r="C79" i="1"/>
  <c r="D79" i="1"/>
  <c r="E79" i="1"/>
  <c r="A82" i="1"/>
  <c r="B82" i="1"/>
  <c r="C82" i="1"/>
  <c r="A83" i="1"/>
  <c r="B83" i="1"/>
  <c r="C83" i="1"/>
  <c r="D83" i="1"/>
  <c r="E83" i="1"/>
  <c r="A86" i="1"/>
  <c r="B86" i="1"/>
  <c r="C86" i="1"/>
  <c r="A87" i="1"/>
  <c r="B87" i="1"/>
  <c r="C87" i="1"/>
  <c r="D87" i="1"/>
  <c r="E87" i="1"/>
  <c r="A90" i="1"/>
  <c r="B90" i="1"/>
  <c r="C90" i="1"/>
  <c r="A91" i="1"/>
  <c r="B91" i="1"/>
  <c r="C91" i="1"/>
  <c r="D91" i="1"/>
  <c r="E91" i="1"/>
  <c r="A94" i="1"/>
  <c r="B94" i="1"/>
  <c r="C94" i="1"/>
  <c r="A95" i="1"/>
  <c r="B95" i="1"/>
  <c r="C95" i="1"/>
  <c r="D95" i="1"/>
  <c r="E95" i="1"/>
  <c r="A98" i="1"/>
  <c r="B98" i="1"/>
  <c r="C98" i="1"/>
  <c r="A99" i="1"/>
  <c r="B99" i="1"/>
  <c r="C99" i="1"/>
  <c r="D99" i="1"/>
  <c r="E99" i="1"/>
  <c r="A102" i="1"/>
  <c r="B102" i="1"/>
  <c r="C102" i="1"/>
  <c r="A103" i="1"/>
  <c r="B103" i="1"/>
  <c r="C103" i="1"/>
  <c r="D103" i="1"/>
  <c r="E103" i="1"/>
  <c r="A106" i="1"/>
  <c r="B106" i="1"/>
  <c r="C106" i="1"/>
  <c r="A107" i="1"/>
  <c r="B107" i="1"/>
  <c r="C107" i="1"/>
  <c r="D107" i="1"/>
  <c r="E107" i="1"/>
  <c r="A110" i="1"/>
  <c r="B110" i="1"/>
  <c r="C110" i="1"/>
  <c r="A111" i="1"/>
  <c r="B111" i="1"/>
  <c r="C111" i="1"/>
  <c r="D111" i="1"/>
  <c r="E111" i="1"/>
  <c r="A114" i="1"/>
  <c r="B114" i="1"/>
  <c r="C114" i="1"/>
  <c r="A115" i="1"/>
  <c r="B115" i="1"/>
  <c r="C115" i="1"/>
  <c r="D115" i="1"/>
  <c r="E115" i="1"/>
  <c r="A118" i="1"/>
  <c r="B118" i="1"/>
  <c r="C118" i="1"/>
  <c r="A119" i="1"/>
  <c r="B119" i="1"/>
  <c r="C119" i="1"/>
  <c r="D119" i="1"/>
  <c r="E119" i="1"/>
  <c r="A121" i="1"/>
  <c r="B121" i="1"/>
  <c r="C121" i="1"/>
  <c r="A122" i="1"/>
  <c r="B122" i="1"/>
  <c r="C122" i="1"/>
  <c r="D122" i="1"/>
  <c r="E122" i="1"/>
  <c r="B123" i="1"/>
  <c r="A124" i="1"/>
  <c r="B124" i="1"/>
  <c r="C124" i="1"/>
  <c r="D124" i="1"/>
  <c r="E124" i="1"/>
  <c r="A126" i="1"/>
  <c r="B126" i="1"/>
  <c r="C126" i="1"/>
  <c r="A127" i="1"/>
  <c r="B127" i="1"/>
  <c r="C127" i="1"/>
  <c r="D127" i="1"/>
  <c r="E127" i="1"/>
  <c r="A130" i="1"/>
  <c r="B130" i="1"/>
  <c r="C130" i="1"/>
  <c r="A131" i="1"/>
  <c r="B131" i="1"/>
  <c r="C131" i="1"/>
  <c r="D131" i="1"/>
  <c r="E131" i="1"/>
  <c r="A134" i="1"/>
  <c r="B134" i="1"/>
  <c r="C134" i="1"/>
  <c r="A135" i="1"/>
  <c r="B135" i="1"/>
  <c r="C135" i="1"/>
  <c r="D135" i="1"/>
  <c r="E135" i="1"/>
  <c r="A138" i="1"/>
  <c r="B138" i="1"/>
  <c r="C138" i="1"/>
  <c r="A139" i="1"/>
  <c r="B139" i="1"/>
  <c r="C139" i="1"/>
  <c r="D139" i="1"/>
  <c r="E139" i="1"/>
  <c r="A142" i="1"/>
  <c r="B142" i="1"/>
  <c r="C142" i="1"/>
  <c r="A143" i="1"/>
  <c r="B143" i="1"/>
  <c r="C143" i="1"/>
  <c r="D143" i="1"/>
  <c r="E143" i="1"/>
  <c r="A146" i="1"/>
  <c r="B146" i="1"/>
  <c r="C146" i="1"/>
  <c r="A147" i="1"/>
  <c r="B147" i="1"/>
  <c r="C147" i="1"/>
  <c r="D147" i="1"/>
  <c r="E147" i="1"/>
  <c r="A150" i="1"/>
  <c r="B150" i="1"/>
  <c r="C150" i="1"/>
  <c r="A151" i="1"/>
  <c r="B151" i="1"/>
  <c r="C151" i="1"/>
  <c r="D151" i="1"/>
  <c r="E151" i="1"/>
  <c r="A154" i="1"/>
  <c r="B154" i="1"/>
  <c r="C154" i="1"/>
  <c r="A155" i="1"/>
  <c r="B155" i="1"/>
  <c r="C155" i="1"/>
  <c r="D155" i="1"/>
  <c r="E155" i="1"/>
  <c r="A158" i="1"/>
  <c r="B158" i="1"/>
  <c r="C158" i="1"/>
  <c r="A159" i="1"/>
  <c r="B159" i="1"/>
  <c r="C159" i="1"/>
  <c r="D159" i="1"/>
  <c r="E159" i="1"/>
  <c r="A162" i="1"/>
  <c r="B162" i="1"/>
  <c r="C162" i="1"/>
  <c r="A163" i="1"/>
  <c r="B163" i="1"/>
  <c r="C163" i="1"/>
  <c r="D163" i="1"/>
  <c r="E163" i="1"/>
  <c r="A166" i="1"/>
  <c r="B166" i="1"/>
  <c r="C166" i="1"/>
  <c r="A167" i="1"/>
  <c r="B167" i="1"/>
  <c r="C167" i="1"/>
  <c r="D167" i="1"/>
  <c r="E167" i="1"/>
  <c r="A170" i="1"/>
  <c r="B170" i="1"/>
  <c r="C170" i="1"/>
  <c r="A171" i="1"/>
  <c r="B171" i="1"/>
  <c r="C171" i="1"/>
  <c r="D171" i="1"/>
  <c r="E171" i="1"/>
  <c r="A174" i="1"/>
  <c r="B174" i="1"/>
  <c r="C174" i="1"/>
  <c r="A175" i="1"/>
  <c r="B175" i="1"/>
  <c r="C175" i="1"/>
  <c r="D175" i="1"/>
  <c r="E175" i="1"/>
  <c r="A178" i="1"/>
  <c r="B178" i="1"/>
  <c r="C178" i="1"/>
  <c r="A179" i="1"/>
  <c r="B179" i="1"/>
  <c r="C179" i="1"/>
  <c r="D179" i="1"/>
  <c r="E179" i="1"/>
  <c r="A181" i="1"/>
  <c r="B181" i="1"/>
  <c r="C181" i="1"/>
  <c r="A182" i="1"/>
  <c r="B182" i="1"/>
  <c r="C182" i="1"/>
  <c r="D182" i="1"/>
  <c r="E182" i="1"/>
  <c r="B183" i="1"/>
  <c r="A184" i="1"/>
  <c r="B184" i="1"/>
  <c r="C184" i="1"/>
  <c r="D184" i="1"/>
  <c r="E184" i="1"/>
  <c r="A186" i="1"/>
  <c r="B186" i="1"/>
  <c r="C186" i="1"/>
  <c r="A187" i="1"/>
  <c r="B187" i="1"/>
  <c r="C187" i="1"/>
  <c r="D187" i="1"/>
  <c r="E187" i="1"/>
  <c r="A190" i="1"/>
  <c r="B190" i="1"/>
  <c r="C190" i="1"/>
  <c r="A191" i="1"/>
  <c r="B191" i="1"/>
  <c r="C191" i="1"/>
  <c r="D191" i="1"/>
  <c r="E191" i="1"/>
  <c r="A194" i="1"/>
  <c r="B194" i="1"/>
  <c r="C194" i="1"/>
  <c r="A195" i="1"/>
  <c r="B195" i="1"/>
  <c r="C195" i="1"/>
  <c r="D195" i="1"/>
  <c r="E195" i="1"/>
  <c r="A198" i="1"/>
  <c r="B198" i="1"/>
  <c r="C198" i="1"/>
  <c r="A199" i="1"/>
  <c r="B199" i="1"/>
  <c r="C199" i="1"/>
  <c r="D199" i="1"/>
  <c r="E199" i="1"/>
  <c r="A202" i="1"/>
  <c r="B202" i="1"/>
  <c r="C202" i="1"/>
  <c r="A203" i="1"/>
  <c r="B203" i="1"/>
  <c r="C203" i="1"/>
  <c r="D203" i="1"/>
  <c r="E203" i="1"/>
  <c r="A206" i="1"/>
  <c r="B206" i="1"/>
  <c r="C206" i="1"/>
  <c r="A207" i="1"/>
  <c r="B207" i="1"/>
  <c r="C207" i="1"/>
  <c r="D207" i="1"/>
  <c r="E207" i="1"/>
  <c r="A210" i="1"/>
  <c r="B210" i="1"/>
  <c r="C210" i="1"/>
  <c r="A211" i="1"/>
  <c r="B211" i="1"/>
  <c r="C211" i="1"/>
  <c r="D211" i="1"/>
  <c r="E211" i="1"/>
  <c r="A214" i="1"/>
  <c r="B214" i="1"/>
  <c r="C214" i="1"/>
  <c r="A215" i="1"/>
  <c r="B215" i="1"/>
  <c r="C215" i="1"/>
  <c r="D215" i="1"/>
  <c r="E215" i="1"/>
  <c r="A218" i="1"/>
  <c r="B218" i="1"/>
  <c r="C218" i="1"/>
  <c r="A219" i="1"/>
  <c r="B219" i="1"/>
  <c r="C219" i="1"/>
  <c r="D219" i="1"/>
  <c r="E219" i="1"/>
  <c r="A222" i="1"/>
  <c r="B222" i="1"/>
  <c r="C222" i="1"/>
  <c r="A223" i="1"/>
  <c r="B223" i="1"/>
  <c r="C223" i="1"/>
  <c r="D223" i="1"/>
  <c r="E223" i="1"/>
  <c r="A226" i="1"/>
  <c r="B226" i="1"/>
  <c r="C226" i="1"/>
  <c r="A227" i="1"/>
  <c r="B227" i="1"/>
  <c r="C227" i="1"/>
  <c r="D227" i="1"/>
  <c r="E227" i="1"/>
  <c r="A230" i="1"/>
  <c r="B230" i="1"/>
  <c r="C230" i="1"/>
  <c r="A231" i="1"/>
  <c r="B231" i="1"/>
  <c r="C231" i="1"/>
  <c r="D231" i="1"/>
  <c r="E231" i="1"/>
  <c r="A234" i="1"/>
  <c r="B234" i="1"/>
  <c r="C234" i="1"/>
  <c r="A235" i="1"/>
  <c r="B235" i="1"/>
  <c r="C235" i="1"/>
  <c r="D235" i="1"/>
  <c r="E235" i="1"/>
  <c r="A238" i="1"/>
  <c r="B238" i="1"/>
  <c r="C238" i="1"/>
  <c r="A239" i="1"/>
  <c r="B239" i="1"/>
  <c r="C239" i="1"/>
  <c r="D239" i="1"/>
  <c r="E239" i="1"/>
  <c r="A241" i="1"/>
  <c r="B241" i="1"/>
  <c r="C241" i="1"/>
  <c r="A242" i="1"/>
  <c r="B242" i="1"/>
  <c r="C242" i="1"/>
  <c r="D242" i="1"/>
  <c r="E242" i="1"/>
  <c r="B243" i="1"/>
  <c r="A244" i="1"/>
  <c r="B244" i="1"/>
  <c r="C244" i="1"/>
  <c r="D244" i="1"/>
  <c r="E244" i="1"/>
  <c r="A246" i="1"/>
  <c r="B246" i="1"/>
  <c r="C246" i="1"/>
  <c r="A247" i="1"/>
  <c r="B247" i="1"/>
  <c r="C247" i="1"/>
  <c r="D247" i="1"/>
  <c r="E247" i="1"/>
  <c r="A250" i="1"/>
  <c r="B250" i="1"/>
  <c r="C250" i="1"/>
  <c r="A251" i="1"/>
  <c r="B251" i="1"/>
  <c r="C251" i="1"/>
  <c r="D251" i="1"/>
  <c r="E251" i="1"/>
  <c r="A254" i="1"/>
  <c r="B254" i="1"/>
  <c r="C254" i="1"/>
  <c r="A255" i="1"/>
  <c r="B255" i="1"/>
  <c r="C255" i="1"/>
  <c r="D255" i="1"/>
  <c r="E255" i="1"/>
  <c r="A258" i="1"/>
  <c r="B258" i="1"/>
  <c r="C258" i="1"/>
  <c r="A259" i="1"/>
  <c r="B259" i="1"/>
  <c r="C259" i="1"/>
  <c r="D259" i="1"/>
  <c r="E259" i="1"/>
  <c r="A262" i="1"/>
  <c r="B262" i="1"/>
  <c r="C262" i="1"/>
  <c r="A263" i="1"/>
  <c r="B263" i="1"/>
  <c r="C263" i="1"/>
  <c r="D263" i="1"/>
  <c r="E263" i="1"/>
  <c r="A266" i="1"/>
  <c r="B266" i="1"/>
  <c r="C266" i="1"/>
  <c r="A267" i="1"/>
  <c r="B267" i="1"/>
  <c r="C267" i="1"/>
  <c r="D267" i="1"/>
  <c r="E267" i="1"/>
  <c r="A270" i="1"/>
  <c r="B270" i="1"/>
  <c r="C270" i="1"/>
  <c r="A271" i="1"/>
  <c r="B271" i="1"/>
  <c r="C271" i="1"/>
  <c r="D271" i="1"/>
  <c r="E271" i="1"/>
  <c r="A274" i="1"/>
  <c r="B274" i="1"/>
  <c r="C274" i="1"/>
  <c r="A275" i="1"/>
  <c r="B275" i="1"/>
  <c r="C275" i="1"/>
  <c r="D275" i="1"/>
  <c r="E275" i="1"/>
  <c r="A278" i="1"/>
  <c r="B278" i="1"/>
  <c r="C278" i="1"/>
  <c r="A279" i="1"/>
  <c r="B279" i="1"/>
  <c r="C279" i="1"/>
  <c r="D279" i="1"/>
  <c r="E279" i="1"/>
  <c r="A282" i="1"/>
  <c r="B282" i="1"/>
  <c r="C282" i="1"/>
  <c r="A283" i="1"/>
  <c r="B283" i="1"/>
  <c r="C283" i="1"/>
  <c r="D283" i="1"/>
  <c r="E283" i="1"/>
  <c r="A286" i="1"/>
  <c r="B286" i="1"/>
  <c r="C286" i="1"/>
  <c r="A287" i="1"/>
  <c r="B287" i="1"/>
  <c r="C287" i="1"/>
  <c r="D287" i="1"/>
  <c r="E287" i="1"/>
  <c r="A290" i="1"/>
  <c r="B290" i="1"/>
  <c r="C290" i="1"/>
  <c r="A291" i="1"/>
  <c r="B291" i="1"/>
  <c r="C291" i="1"/>
  <c r="D291" i="1"/>
  <c r="E291" i="1"/>
  <c r="A294" i="1"/>
  <c r="B294" i="1"/>
  <c r="C294" i="1"/>
  <c r="A295" i="1"/>
  <c r="B295" i="1"/>
  <c r="C295" i="1"/>
  <c r="D295" i="1"/>
  <c r="E295" i="1"/>
  <c r="A298" i="1"/>
  <c r="B298" i="1"/>
  <c r="C298" i="1"/>
  <c r="A299" i="1"/>
  <c r="B299" i="1"/>
  <c r="C299" i="1"/>
  <c r="D299" i="1"/>
  <c r="E299" i="1"/>
  <c r="A301" i="1"/>
  <c r="B301" i="1"/>
  <c r="C301" i="1"/>
  <c r="A302" i="1"/>
  <c r="B302" i="1"/>
  <c r="C302" i="1"/>
  <c r="D302" i="1"/>
  <c r="E302" i="1"/>
  <c r="B303" i="1"/>
  <c r="A304" i="1"/>
  <c r="B304" i="1"/>
  <c r="C304" i="1"/>
  <c r="D304" i="1"/>
  <c r="E304" i="1"/>
  <c r="A306" i="1"/>
  <c r="B306" i="1"/>
  <c r="C306" i="1"/>
  <c r="A307" i="1"/>
  <c r="B307" i="1"/>
  <c r="C307" i="1"/>
  <c r="D307" i="1"/>
  <c r="E307" i="1"/>
  <c r="A310" i="1"/>
  <c r="B310" i="1"/>
  <c r="C310" i="1"/>
  <c r="A311" i="1"/>
  <c r="B311" i="1"/>
  <c r="C311" i="1"/>
  <c r="D311" i="1"/>
  <c r="E311" i="1"/>
  <c r="A314" i="1"/>
  <c r="B314" i="1"/>
  <c r="C314" i="1"/>
  <c r="A315" i="1"/>
  <c r="B315" i="1"/>
  <c r="C315" i="1"/>
  <c r="D315" i="1"/>
  <c r="E315" i="1"/>
  <c r="A318" i="1"/>
  <c r="B318" i="1"/>
  <c r="C318" i="1"/>
  <c r="A319" i="1"/>
  <c r="B319" i="1"/>
  <c r="C319" i="1"/>
  <c r="D319" i="1"/>
  <c r="E319" i="1"/>
  <c r="A322" i="1"/>
  <c r="B322" i="1"/>
  <c r="C322" i="1"/>
  <c r="A323" i="1"/>
  <c r="B323" i="1"/>
  <c r="C323" i="1"/>
  <c r="D323" i="1"/>
  <c r="E323" i="1"/>
  <c r="A326" i="1"/>
  <c r="B326" i="1"/>
  <c r="C326" i="1"/>
  <c r="A327" i="1"/>
  <c r="B327" i="1"/>
  <c r="C327" i="1"/>
  <c r="D327" i="1"/>
  <c r="E327" i="1"/>
  <c r="A330" i="1"/>
  <c r="B330" i="1"/>
  <c r="C330" i="1"/>
  <c r="A331" i="1"/>
  <c r="B331" i="1"/>
  <c r="C331" i="1"/>
  <c r="D331" i="1"/>
  <c r="E331" i="1"/>
  <c r="A334" i="1"/>
  <c r="B334" i="1"/>
  <c r="C334" i="1"/>
  <c r="A335" i="1"/>
  <c r="B335" i="1"/>
  <c r="C335" i="1"/>
  <c r="D335" i="1"/>
  <c r="E335" i="1"/>
  <c r="A338" i="1"/>
  <c r="B338" i="1"/>
  <c r="C338" i="1"/>
  <c r="A339" i="1"/>
  <c r="B339" i="1"/>
  <c r="C339" i="1"/>
  <c r="D339" i="1"/>
  <c r="E339" i="1"/>
  <c r="A342" i="1"/>
  <c r="B342" i="1"/>
  <c r="C342" i="1"/>
  <c r="A343" i="1"/>
  <c r="B343" i="1"/>
  <c r="C343" i="1"/>
  <c r="D343" i="1"/>
  <c r="E343" i="1"/>
  <c r="A346" i="1"/>
  <c r="B346" i="1"/>
  <c r="C346" i="1"/>
  <c r="A347" i="1"/>
  <c r="B347" i="1"/>
  <c r="C347" i="1"/>
  <c r="D347" i="1"/>
  <c r="E347" i="1"/>
  <c r="A350" i="1"/>
  <c r="B350" i="1"/>
  <c r="C350" i="1"/>
  <c r="A351" i="1"/>
  <c r="B351" i="1"/>
  <c r="C351" i="1"/>
  <c r="D351" i="1"/>
  <c r="E351" i="1"/>
  <c r="A354" i="1"/>
  <c r="B354" i="1"/>
  <c r="C354" i="1"/>
  <c r="A355" i="1"/>
  <c r="B355" i="1"/>
  <c r="C355" i="1"/>
  <c r="D355" i="1"/>
  <c r="E355" i="1"/>
  <c r="A358" i="1"/>
  <c r="B358" i="1"/>
  <c r="C358" i="1"/>
  <c r="A359" i="1"/>
  <c r="B359" i="1"/>
  <c r="C359" i="1"/>
  <c r="D359" i="1"/>
  <c r="E359" i="1"/>
  <c r="A361" i="1"/>
  <c r="B361" i="1"/>
  <c r="C361" i="1"/>
  <c r="A362" i="1"/>
  <c r="B362" i="1"/>
  <c r="C362" i="1"/>
  <c r="D362" i="1"/>
  <c r="E362" i="1"/>
  <c r="B363" i="1"/>
  <c r="A364" i="1"/>
  <c r="B364" i="1"/>
  <c r="C364" i="1"/>
  <c r="D364" i="1"/>
  <c r="E364" i="1"/>
  <c r="A366" i="1"/>
  <c r="B366" i="1"/>
  <c r="C366" i="1"/>
  <c r="A367" i="1"/>
  <c r="B367" i="1"/>
  <c r="C367" i="1"/>
  <c r="D367" i="1"/>
  <c r="E367" i="1"/>
  <c r="A370" i="1"/>
  <c r="B370" i="1"/>
  <c r="C370" i="1"/>
  <c r="A371" i="1"/>
  <c r="B371" i="1"/>
  <c r="C371" i="1"/>
  <c r="D371" i="1"/>
  <c r="E371" i="1"/>
  <c r="A374" i="1"/>
  <c r="B374" i="1"/>
  <c r="C374" i="1"/>
  <c r="A375" i="1"/>
  <c r="B375" i="1"/>
  <c r="C375" i="1"/>
  <c r="D375" i="1"/>
  <c r="E375" i="1"/>
  <c r="A378" i="1"/>
  <c r="B378" i="1"/>
  <c r="C378" i="1"/>
  <c r="A379" i="1"/>
  <c r="B379" i="1"/>
  <c r="C379" i="1"/>
  <c r="D379" i="1"/>
  <c r="E379" i="1"/>
  <c r="A382" i="1"/>
  <c r="B382" i="1"/>
  <c r="C382" i="1"/>
  <c r="A383" i="1"/>
  <c r="B383" i="1"/>
  <c r="C383" i="1"/>
  <c r="D383" i="1"/>
  <c r="E383" i="1"/>
  <c r="A386" i="1"/>
  <c r="B386" i="1"/>
  <c r="C386" i="1"/>
  <c r="A387" i="1"/>
  <c r="B387" i="1"/>
  <c r="C387" i="1"/>
  <c r="D387" i="1"/>
  <c r="E387" i="1"/>
  <c r="A390" i="1"/>
  <c r="B390" i="1"/>
  <c r="C390" i="1"/>
  <c r="A391" i="1"/>
  <c r="B391" i="1"/>
  <c r="C391" i="1"/>
  <c r="D391" i="1"/>
  <c r="E391" i="1"/>
  <c r="A394" i="1"/>
  <c r="B394" i="1"/>
  <c r="C394" i="1"/>
  <c r="A395" i="1"/>
  <c r="B395" i="1"/>
  <c r="C395" i="1"/>
  <c r="D395" i="1"/>
  <c r="E395" i="1"/>
  <c r="A398" i="1"/>
  <c r="B398" i="1"/>
  <c r="C398" i="1"/>
  <c r="A399" i="1"/>
  <c r="B399" i="1"/>
  <c r="C399" i="1"/>
  <c r="D399" i="1"/>
  <c r="E399" i="1"/>
  <c r="A402" i="1"/>
  <c r="B402" i="1"/>
  <c r="C402" i="1"/>
  <c r="A403" i="1"/>
  <c r="B403" i="1"/>
  <c r="C403" i="1"/>
  <c r="D403" i="1"/>
  <c r="E403" i="1"/>
  <c r="A406" i="1"/>
  <c r="B406" i="1"/>
  <c r="C406" i="1"/>
  <c r="A407" i="1"/>
  <c r="B407" i="1"/>
  <c r="C407" i="1"/>
  <c r="D407" i="1"/>
  <c r="E407" i="1"/>
  <c r="A410" i="1"/>
  <c r="B410" i="1"/>
  <c r="C410" i="1"/>
  <c r="A411" i="1"/>
  <c r="B411" i="1"/>
  <c r="C411" i="1"/>
  <c r="D411" i="1"/>
  <c r="E411" i="1"/>
  <c r="A414" i="1"/>
  <c r="B414" i="1"/>
  <c r="C414" i="1"/>
  <c r="A415" i="1"/>
  <c r="B415" i="1"/>
  <c r="C415" i="1"/>
  <c r="D415" i="1"/>
  <c r="E415" i="1"/>
  <c r="A418" i="1"/>
  <c r="B418" i="1"/>
  <c r="C418" i="1"/>
  <c r="A419" i="1"/>
  <c r="B419" i="1"/>
  <c r="C419" i="1"/>
  <c r="D419" i="1"/>
  <c r="E419" i="1"/>
  <c r="A421" i="1"/>
  <c r="B421" i="1"/>
  <c r="C421" i="1"/>
  <c r="A422" i="1"/>
  <c r="B422" i="1"/>
  <c r="C422" i="1"/>
  <c r="D422" i="1"/>
  <c r="E422" i="1"/>
  <c r="B423" i="1"/>
  <c r="A424" i="1"/>
  <c r="B424" i="1"/>
  <c r="C424" i="1"/>
  <c r="D424" i="1"/>
  <c r="E424" i="1"/>
  <c r="A426" i="1"/>
  <c r="B426" i="1"/>
  <c r="C426" i="1"/>
  <c r="A427" i="1"/>
  <c r="B427" i="1"/>
  <c r="C427" i="1"/>
  <c r="D427" i="1"/>
  <c r="E427" i="1"/>
  <c r="A430" i="1"/>
  <c r="B430" i="1"/>
  <c r="C430" i="1"/>
  <c r="A431" i="1"/>
  <c r="B431" i="1"/>
  <c r="C431" i="1"/>
  <c r="D431" i="1"/>
  <c r="E431" i="1"/>
  <c r="A434" i="1"/>
  <c r="B434" i="1"/>
  <c r="C434" i="1"/>
  <c r="A435" i="1"/>
  <c r="B435" i="1"/>
  <c r="C435" i="1"/>
  <c r="D435" i="1"/>
  <c r="E435" i="1"/>
  <c r="A438" i="1"/>
  <c r="B438" i="1"/>
  <c r="C438" i="1"/>
  <c r="A439" i="1"/>
  <c r="B439" i="1"/>
  <c r="C439" i="1"/>
  <c r="D439" i="1"/>
  <c r="E439" i="1"/>
  <c r="A442" i="1"/>
  <c r="B442" i="1"/>
  <c r="C442" i="1"/>
  <c r="A443" i="1"/>
  <c r="B443" i="1"/>
  <c r="C443" i="1"/>
  <c r="D443" i="1"/>
  <c r="E443" i="1"/>
  <c r="A446" i="1"/>
  <c r="B446" i="1"/>
  <c r="C446" i="1"/>
  <c r="A447" i="1"/>
  <c r="B447" i="1"/>
  <c r="C447" i="1"/>
  <c r="D447" i="1"/>
  <c r="E447" i="1"/>
  <c r="A450" i="1"/>
  <c r="B450" i="1"/>
  <c r="C450" i="1"/>
  <c r="A451" i="1"/>
  <c r="B451" i="1"/>
  <c r="C451" i="1"/>
  <c r="D451" i="1"/>
  <c r="E451" i="1"/>
  <c r="A454" i="1"/>
  <c r="B454" i="1"/>
  <c r="C454" i="1"/>
  <c r="A455" i="1"/>
  <c r="B455" i="1"/>
  <c r="C455" i="1"/>
  <c r="D455" i="1"/>
  <c r="E455" i="1"/>
  <c r="A458" i="1"/>
  <c r="B458" i="1"/>
  <c r="C458" i="1"/>
  <c r="A459" i="1"/>
  <c r="B459" i="1"/>
  <c r="C459" i="1"/>
  <c r="D459" i="1"/>
  <c r="E459" i="1"/>
  <c r="A462" i="1"/>
  <c r="B462" i="1"/>
  <c r="C462" i="1"/>
  <c r="A463" i="1"/>
  <c r="B463" i="1"/>
  <c r="C463" i="1"/>
  <c r="D463" i="1"/>
  <c r="E463" i="1"/>
  <c r="A466" i="1"/>
  <c r="B466" i="1"/>
  <c r="C466" i="1"/>
  <c r="A467" i="1"/>
  <c r="B467" i="1"/>
  <c r="C467" i="1"/>
  <c r="D467" i="1"/>
  <c r="E467" i="1"/>
  <c r="A470" i="1"/>
  <c r="B470" i="1"/>
  <c r="C470" i="1"/>
  <c r="A471" i="1"/>
  <c r="B471" i="1"/>
  <c r="C471" i="1"/>
  <c r="D471" i="1"/>
  <c r="E471" i="1"/>
  <c r="A474" i="1"/>
  <c r="B474" i="1"/>
  <c r="C474" i="1"/>
  <c r="A475" i="1"/>
  <c r="B475" i="1"/>
  <c r="C475" i="1"/>
  <c r="D475" i="1"/>
  <c r="E475" i="1"/>
  <c r="A478" i="1"/>
  <c r="B478" i="1"/>
  <c r="C478" i="1"/>
  <c r="A479" i="1"/>
  <c r="B479" i="1"/>
  <c r="C479" i="1"/>
  <c r="D479" i="1"/>
  <c r="E479" i="1"/>
  <c r="A481" i="1"/>
  <c r="B481" i="1"/>
  <c r="C481" i="1"/>
  <c r="A482" i="1"/>
  <c r="B482" i="1"/>
  <c r="C482" i="1"/>
  <c r="D482" i="1"/>
  <c r="E482" i="1"/>
  <c r="B483" i="1"/>
  <c r="A484" i="1"/>
  <c r="B484" i="1"/>
  <c r="C484" i="1"/>
  <c r="D484" i="1"/>
  <c r="E484" i="1"/>
  <c r="A486" i="1"/>
  <c r="B486" i="1"/>
  <c r="C486" i="1"/>
  <c r="A487" i="1"/>
  <c r="B487" i="1"/>
  <c r="C487" i="1"/>
  <c r="D487" i="1"/>
  <c r="E487" i="1"/>
  <c r="A490" i="1"/>
  <c r="B490" i="1"/>
  <c r="C490" i="1"/>
  <c r="A491" i="1"/>
  <c r="B491" i="1"/>
  <c r="C491" i="1"/>
  <c r="D491" i="1"/>
  <c r="E491" i="1"/>
  <c r="A494" i="1"/>
  <c r="B494" i="1"/>
  <c r="C494" i="1"/>
  <c r="A495" i="1"/>
  <c r="B495" i="1"/>
  <c r="C495" i="1"/>
  <c r="D495" i="1"/>
  <c r="E495" i="1"/>
  <c r="A498" i="1"/>
  <c r="B498" i="1"/>
  <c r="C498" i="1"/>
  <c r="A499" i="1"/>
  <c r="B499" i="1"/>
  <c r="C499" i="1"/>
  <c r="D499" i="1"/>
  <c r="E499" i="1"/>
  <c r="A502" i="1"/>
  <c r="B502" i="1"/>
  <c r="C502" i="1"/>
  <c r="A503" i="1"/>
  <c r="B503" i="1"/>
  <c r="C503" i="1"/>
  <c r="D503" i="1"/>
  <c r="E503" i="1"/>
  <c r="A506" i="1"/>
  <c r="B506" i="1"/>
  <c r="C506" i="1"/>
  <c r="A507" i="1"/>
  <c r="B507" i="1"/>
  <c r="C507" i="1"/>
  <c r="D507" i="1"/>
  <c r="E507" i="1"/>
  <c r="A510" i="1"/>
  <c r="B510" i="1"/>
  <c r="C510" i="1"/>
  <c r="A511" i="1"/>
  <c r="B511" i="1"/>
  <c r="C511" i="1"/>
  <c r="D511" i="1"/>
  <c r="E511" i="1"/>
  <c r="A514" i="1"/>
  <c r="B514" i="1"/>
  <c r="C514" i="1"/>
  <c r="A515" i="1"/>
  <c r="B515" i="1"/>
  <c r="C515" i="1"/>
  <c r="D515" i="1"/>
  <c r="E515" i="1"/>
  <c r="A518" i="1"/>
  <c r="B518" i="1"/>
  <c r="C518" i="1"/>
  <c r="A519" i="1"/>
  <c r="B519" i="1"/>
  <c r="C519" i="1"/>
  <c r="D519" i="1"/>
  <c r="E519" i="1"/>
  <c r="A522" i="1"/>
  <c r="B522" i="1"/>
  <c r="C522" i="1"/>
  <c r="A523" i="1"/>
  <c r="B523" i="1"/>
  <c r="C523" i="1"/>
  <c r="D523" i="1"/>
  <c r="E523" i="1"/>
  <c r="A526" i="1"/>
  <c r="B526" i="1"/>
  <c r="C526" i="1"/>
  <c r="A527" i="1"/>
  <c r="B527" i="1"/>
  <c r="C527" i="1"/>
  <c r="D527" i="1"/>
  <c r="E527" i="1"/>
  <c r="A530" i="1"/>
  <c r="B530" i="1"/>
  <c r="C530" i="1"/>
  <c r="A531" i="1"/>
  <c r="B531" i="1"/>
  <c r="C531" i="1"/>
  <c r="D531" i="1"/>
  <c r="E531" i="1"/>
  <c r="A534" i="1"/>
  <c r="B534" i="1"/>
  <c r="C534" i="1"/>
  <c r="A535" i="1"/>
  <c r="B535" i="1"/>
  <c r="C535" i="1"/>
  <c r="D535" i="1"/>
  <c r="E535" i="1"/>
  <c r="A538" i="1"/>
  <c r="B538" i="1"/>
  <c r="C538" i="1"/>
  <c r="A539" i="1"/>
  <c r="B539" i="1"/>
  <c r="C539" i="1"/>
  <c r="D539" i="1"/>
  <c r="E539" i="1"/>
  <c r="A541" i="1"/>
  <c r="B541" i="1"/>
  <c r="C541" i="1"/>
  <c r="A542" i="1"/>
  <c r="B542" i="1"/>
  <c r="C542" i="1"/>
  <c r="D542" i="1"/>
  <c r="E542" i="1"/>
  <c r="B543" i="1"/>
  <c r="A544" i="1"/>
  <c r="B544" i="1"/>
  <c r="C544" i="1"/>
  <c r="D544" i="1"/>
  <c r="E544" i="1"/>
  <c r="A546" i="1"/>
  <c r="B546" i="1"/>
  <c r="C546" i="1"/>
  <c r="A547" i="1"/>
  <c r="B547" i="1"/>
  <c r="C547" i="1"/>
  <c r="D547" i="1"/>
  <c r="E547" i="1"/>
  <c r="A550" i="1"/>
  <c r="B550" i="1"/>
  <c r="C550" i="1"/>
  <c r="A551" i="1"/>
  <c r="B551" i="1"/>
  <c r="C551" i="1"/>
  <c r="D551" i="1"/>
  <c r="E551" i="1"/>
  <c r="A554" i="1"/>
  <c r="B554" i="1"/>
  <c r="C554" i="1"/>
  <c r="A555" i="1"/>
  <c r="B555" i="1"/>
  <c r="C555" i="1"/>
  <c r="D555" i="1"/>
  <c r="E555" i="1"/>
  <c r="A558" i="1"/>
  <c r="B558" i="1"/>
  <c r="C558" i="1"/>
  <c r="A559" i="1"/>
  <c r="B559" i="1"/>
  <c r="C559" i="1"/>
  <c r="D559" i="1"/>
  <c r="E559" i="1"/>
  <c r="A562" i="1"/>
  <c r="B562" i="1"/>
  <c r="C562" i="1"/>
  <c r="A563" i="1"/>
  <c r="B563" i="1"/>
  <c r="C563" i="1"/>
  <c r="D563" i="1"/>
  <c r="E563" i="1"/>
  <c r="A566" i="1"/>
  <c r="B566" i="1"/>
  <c r="C566" i="1"/>
  <c r="A567" i="1"/>
  <c r="B567" i="1"/>
  <c r="C567" i="1"/>
  <c r="D567" i="1"/>
  <c r="E567" i="1"/>
  <c r="A570" i="1"/>
  <c r="B570" i="1"/>
  <c r="C570" i="1"/>
  <c r="A571" i="1"/>
  <c r="B571" i="1"/>
  <c r="C571" i="1"/>
  <c r="D571" i="1"/>
  <c r="E571" i="1"/>
  <c r="A574" i="1"/>
  <c r="B574" i="1"/>
  <c r="C574" i="1"/>
  <c r="A575" i="1"/>
  <c r="B575" i="1"/>
  <c r="C575" i="1"/>
  <c r="D575" i="1"/>
  <c r="E575" i="1"/>
  <c r="A578" i="1"/>
  <c r="B578" i="1"/>
  <c r="C578" i="1"/>
  <c r="A579" i="1"/>
  <c r="B579" i="1"/>
  <c r="C579" i="1"/>
  <c r="D579" i="1"/>
  <c r="E579" i="1"/>
  <c r="A582" i="1"/>
  <c r="B582" i="1"/>
  <c r="C582" i="1"/>
  <c r="A583" i="1"/>
  <c r="B583" i="1"/>
  <c r="C583" i="1"/>
  <c r="D583" i="1"/>
  <c r="E583" i="1"/>
  <c r="A586" i="1"/>
  <c r="B586" i="1"/>
  <c r="C586" i="1"/>
  <c r="A587" i="1"/>
  <c r="B587" i="1"/>
  <c r="C587" i="1"/>
  <c r="D587" i="1"/>
  <c r="E587" i="1"/>
  <c r="A590" i="1"/>
  <c r="B590" i="1"/>
  <c r="C590" i="1"/>
  <c r="A591" i="1"/>
  <c r="B591" i="1"/>
  <c r="C591" i="1"/>
  <c r="D591" i="1"/>
  <c r="E591" i="1"/>
  <c r="A594" i="1"/>
  <c r="B594" i="1"/>
  <c r="C594" i="1"/>
  <c r="A595" i="1"/>
  <c r="B595" i="1"/>
  <c r="C595" i="1"/>
  <c r="D595" i="1"/>
  <c r="E595" i="1"/>
  <c r="A598" i="1"/>
  <c r="B598" i="1"/>
  <c r="C598" i="1"/>
  <c r="A599" i="1"/>
  <c r="B599" i="1"/>
  <c r="C599" i="1"/>
  <c r="D599" i="1"/>
  <c r="E599" i="1"/>
  <c r="A601" i="1"/>
  <c r="B601" i="1"/>
  <c r="C601" i="1"/>
  <c r="A602" i="1"/>
  <c r="B602" i="1"/>
  <c r="C602" i="1"/>
  <c r="D602" i="1"/>
  <c r="E602" i="1"/>
  <c r="B603" i="1"/>
  <c r="A604" i="1"/>
  <c r="B604" i="1"/>
  <c r="C604" i="1"/>
  <c r="D604" i="1"/>
  <c r="E604" i="1"/>
  <c r="A606" i="1"/>
  <c r="B606" i="1"/>
  <c r="C606" i="1"/>
  <c r="A607" i="1"/>
  <c r="B607" i="1"/>
  <c r="C607" i="1"/>
  <c r="D607" i="1"/>
  <c r="E607" i="1"/>
  <c r="A610" i="1"/>
  <c r="B610" i="1"/>
  <c r="C610" i="1"/>
  <c r="A611" i="1"/>
  <c r="B611" i="1"/>
  <c r="C611" i="1"/>
  <c r="D611" i="1"/>
  <c r="E611" i="1"/>
  <c r="A614" i="1"/>
  <c r="B614" i="1"/>
  <c r="C614" i="1"/>
  <c r="A615" i="1"/>
  <c r="B615" i="1"/>
  <c r="C615" i="1"/>
  <c r="D615" i="1"/>
  <c r="E615" i="1"/>
  <c r="A618" i="1"/>
  <c r="B618" i="1"/>
  <c r="C618" i="1"/>
  <c r="A619" i="1"/>
  <c r="B619" i="1"/>
  <c r="C619" i="1"/>
  <c r="D619" i="1"/>
  <c r="E619" i="1"/>
  <c r="A622" i="1"/>
  <c r="B622" i="1"/>
  <c r="C622" i="1"/>
  <c r="A623" i="1"/>
  <c r="B623" i="1"/>
  <c r="C623" i="1"/>
  <c r="D623" i="1"/>
  <c r="E623" i="1"/>
  <c r="A626" i="1"/>
  <c r="B626" i="1"/>
  <c r="C626" i="1"/>
  <c r="A627" i="1"/>
  <c r="B627" i="1"/>
  <c r="C627" i="1"/>
  <c r="D627" i="1"/>
  <c r="E627" i="1"/>
  <c r="A630" i="1"/>
  <c r="B630" i="1"/>
  <c r="C630" i="1"/>
  <c r="A631" i="1"/>
  <c r="B631" i="1"/>
  <c r="C631" i="1"/>
  <c r="D631" i="1"/>
  <c r="E631" i="1"/>
  <c r="A634" i="1"/>
  <c r="B634" i="1"/>
  <c r="C634" i="1"/>
  <c r="A635" i="1"/>
  <c r="B635" i="1"/>
  <c r="C635" i="1"/>
  <c r="D635" i="1"/>
  <c r="E635" i="1"/>
  <c r="A638" i="1"/>
  <c r="B638" i="1"/>
  <c r="C638" i="1"/>
  <c r="A639" i="1"/>
  <c r="B639" i="1"/>
  <c r="C639" i="1"/>
  <c r="D639" i="1"/>
  <c r="E639" i="1"/>
  <c r="A642" i="1"/>
  <c r="B642" i="1"/>
  <c r="C642" i="1"/>
  <c r="A643" i="1"/>
  <c r="B643" i="1"/>
  <c r="C643" i="1"/>
  <c r="D643" i="1"/>
  <c r="E643" i="1"/>
  <c r="A646" i="1"/>
  <c r="B646" i="1"/>
  <c r="C646" i="1"/>
  <c r="A647" i="1"/>
  <c r="B647" i="1"/>
  <c r="C647" i="1"/>
  <c r="D647" i="1"/>
  <c r="E647" i="1"/>
  <c r="A650" i="1"/>
  <c r="B650" i="1"/>
  <c r="C650" i="1"/>
  <c r="A651" i="1"/>
  <c r="B651" i="1"/>
  <c r="C651" i="1"/>
  <c r="D651" i="1"/>
  <c r="E651" i="1"/>
  <c r="A654" i="1"/>
  <c r="B654" i="1"/>
  <c r="C654" i="1"/>
  <c r="A655" i="1"/>
  <c r="B655" i="1"/>
  <c r="C655" i="1"/>
  <c r="D655" i="1"/>
  <c r="E655" i="1"/>
  <c r="A658" i="1"/>
  <c r="B658" i="1"/>
  <c r="C658" i="1"/>
  <c r="A659" i="1"/>
  <c r="B659" i="1"/>
  <c r="C659" i="1"/>
  <c r="D659" i="1"/>
  <c r="E659" i="1"/>
  <c r="A661" i="1"/>
  <c r="B661" i="1"/>
  <c r="C661" i="1"/>
  <c r="A662" i="1"/>
  <c r="B662" i="1"/>
  <c r="C662" i="1"/>
  <c r="D662" i="1"/>
  <c r="E662" i="1"/>
  <c r="B663" i="1"/>
  <c r="A664" i="1"/>
  <c r="B664" i="1"/>
  <c r="C664" i="1"/>
  <c r="D664" i="1"/>
  <c r="E664" i="1"/>
  <c r="A666" i="1"/>
  <c r="B666" i="1"/>
  <c r="C666" i="1"/>
  <c r="A667" i="1"/>
  <c r="B667" i="1"/>
  <c r="C667" i="1"/>
  <c r="D667" i="1"/>
  <c r="E667" i="1"/>
  <c r="A670" i="1"/>
  <c r="B670" i="1"/>
  <c r="C670" i="1"/>
  <c r="A671" i="1"/>
  <c r="B671" i="1"/>
  <c r="C671" i="1"/>
  <c r="D671" i="1"/>
  <c r="E671" i="1"/>
  <c r="A674" i="1"/>
  <c r="B674" i="1"/>
  <c r="C674" i="1"/>
  <c r="A675" i="1"/>
  <c r="B675" i="1"/>
  <c r="C675" i="1"/>
  <c r="D675" i="1"/>
  <c r="E675" i="1"/>
  <c r="A678" i="1"/>
  <c r="B678" i="1"/>
  <c r="C678" i="1"/>
  <c r="A679" i="1"/>
  <c r="B679" i="1"/>
  <c r="C679" i="1"/>
  <c r="D679" i="1"/>
  <c r="E679" i="1"/>
  <c r="A682" i="1"/>
  <c r="B682" i="1"/>
  <c r="C682" i="1"/>
  <c r="A683" i="1"/>
  <c r="B683" i="1"/>
  <c r="C683" i="1"/>
  <c r="D683" i="1"/>
  <c r="E683" i="1"/>
  <c r="A686" i="1"/>
  <c r="B686" i="1"/>
  <c r="C686" i="1"/>
  <c r="A687" i="1"/>
  <c r="B687" i="1"/>
  <c r="C687" i="1"/>
  <c r="D687" i="1"/>
  <c r="E687" i="1"/>
  <c r="A690" i="1"/>
  <c r="B690" i="1"/>
  <c r="C690" i="1"/>
  <c r="A691" i="1"/>
  <c r="B691" i="1"/>
  <c r="C691" i="1"/>
  <c r="D691" i="1"/>
  <c r="E691" i="1"/>
  <c r="A694" i="1"/>
  <c r="B694" i="1"/>
  <c r="C694" i="1"/>
  <c r="A695" i="1"/>
  <c r="B695" i="1"/>
  <c r="C695" i="1"/>
  <c r="D695" i="1"/>
  <c r="E695" i="1"/>
  <c r="A698" i="1"/>
  <c r="B698" i="1"/>
  <c r="C698" i="1"/>
  <c r="A699" i="1"/>
  <c r="B699" i="1"/>
  <c r="C699" i="1"/>
  <c r="D699" i="1"/>
  <c r="E699" i="1"/>
  <c r="A702" i="1"/>
  <c r="B702" i="1"/>
  <c r="C702" i="1"/>
  <c r="A703" i="1"/>
  <c r="B703" i="1"/>
  <c r="C703" i="1"/>
  <c r="D703" i="1"/>
  <c r="E703" i="1"/>
  <c r="A706" i="1"/>
  <c r="B706" i="1"/>
  <c r="C706" i="1"/>
  <c r="A707" i="1"/>
  <c r="B707" i="1"/>
  <c r="C707" i="1"/>
  <c r="D707" i="1"/>
  <c r="E707" i="1"/>
  <c r="A710" i="1"/>
  <c r="B710" i="1"/>
  <c r="C710" i="1"/>
  <c r="A711" i="1"/>
  <c r="B711" i="1"/>
  <c r="C711" i="1"/>
  <c r="D711" i="1"/>
  <c r="E711" i="1"/>
  <c r="A714" i="1"/>
  <c r="B714" i="1"/>
  <c r="C714" i="1"/>
  <c r="A715" i="1"/>
  <c r="B715" i="1"/>
  <c r="C715" i="1"/>
  <c r="D715" i="1"/>
  <c r="E715" i="1"/>
  <c r="A718" i="1"/>
  <c r="B718" i="1"/>
  <c r="C718" i="1"/>
  <c r="A719" i="1"/>
  <c r="B719" i="1"/>
  <c r="C719" i="1"/>
  <c r="D719" i="1"/>
  <c r="E719" i="1"/>
  <c r="A721" i="1"/>
  <c r="B721" i="1"/>
  <c r="C721" i="1"/>
  <c r="A722" i="1"/>
  <c r="B722" i="1"/>
  <c r="C722" i="1"/>
  <c r="D722" i="1"/>
  <c r="E722" i="1"/>
  <c r="B723" i="1"/>
  <c r="A724" i="1"/>
  <c r="B724" i="1"/>
  <c r="C724" i="1"/>
  <c r="D724" i="1"/>
  <c r="E724" i="1"/>
  <c r="A726" i="1"/>
  <c r="B726" i="1"/>
  <c r="C726" i="1"/>
  <c r="A727" i="1"/>
  <c r="B727" i="1"/>
  <c r="C727" i="1"/>
  <c r="D727" i="1"/>
  <c r="E727" i="1"/>
  <c r="A730" i="1"/>
  <c r="B730" i="1"/>
  <c r="C730" i="1"/>
  <c r="A731" i="1"/>
  <c r="B731" i="1"/>
  <c r="C731" i="1"/>
  <c r="D731" i="1"/>
  <c r="E731" i="1"/>
  <c r="A734" i="1"/>
  <c r="B734" i="1"/>
  <c r="C734" i="1"/>
  <c r="A735" i="1"/>
  <c r="B735" i="1"/>
  <c r="C735" i="1"/>
  <c r="D735" i="1"/>
  <c r="E735" i="1"/>
  <c r="A738" i="1"/>
  <c r="B738" i="1"/>
  <c r="C738" i="1"/>
  <c r="A739" i="1"/>
  <c r="B739" i="1"/>
  <c r="C739" i="1"/>
  <c r="D739" i="1"/>
  <c r="E739" i="1"/>
  <c r="A742" i="1"/>
  <c r="B742" i="1"/>
  <c r="C742" i="1"/>
  <c r="A743" i="1"/>
  <c r="B743" i="1"/>
  <c r="C743" i="1"/>
  <c r="D743" i="1"/>
  <c r="E743" i="1"/>
  <c r="A746" i="1"/>
  <c r="B746" i="1"/>
  <c r="C746" i="1"/>
  <c r="A747" i="1"/>
  <c r="B747" i="1"/>
  <c r="C747" i="1"/>
  <c r="D747" i="1"/>
  <c r="E747" i="1"/>
  <c r="A750" i="1"/>
  <c r="B750" i="1"/>
  <c r="C750" i="1"/>
  <c r="A751" i="1"/>
  <c r="B751" i="1"/>
  <c r="C751" i="1"/>
  <c r="D751" i="1"/>
  <c r="E751" i="1"/>
  <c r="A754" i="1"/>
  <c r="B754" i="1"/>
  <c r="C754" i="1"/>
  <c r="A755" i="1"/>
  <c r="B755" i="1"/>
  <c r="C755" i="1"/>
  <c r="D755" i="1"/>
  <c r="E755" i="1"/>
  <c r="A758" i="1"/>
  <c r="B758" i="1"/>
  <c r="C758" i="1"/>
  <c r="A759" i="1"/>
  <c r="B759" i="1"/>
  <c r="C759" i="1"/>
  <c r="D759" i="1"/>
  <c r="E759" i="1"/>
  <c r="A762" i="1"/>
  <c r="B762" i="1"/>
  <c r="C762" i="1"/>
  <c r="A763" i="1"/>
  <c r="B763" i="1"/>
  <c r="C763" i="1"/>
  <c r="D763" i="1"/>
  <c r="E763" i="1"/>
  <c r="A766" i="1"/>
  <c r="B766" i="1"/>
  <c r="C766" i="1"/>
  <c r="A767" i="1"/>
  <c r="B767" i="1"/>
  <c r="C767" i="1"/>
  <c r="D767" i="1"/>
  <c r="E767" i="1"/>
  <c r="A770" i="1"/>
  <c r="B770" i="1"/>
  <c r="C770" i="1"/>
  <c r="A771" i="1"/>
  <c r="B771" i="1"/>
  <c r="C771" i="1"/>
  <c r="D771" i="1"/>
  <c r="E771" i="1"/>
  <c r="A774" i="1"/>
  <c r="B774" i="1"/>
  <c r="C774" i="1"/>
  <c r="A775" i="1"/>
  <c r="B775" i="1"/>
  <c r="C775" i="1"/>
  <c r="D775" i="1"/>
  <c r="E775" i="1"/>
  <c r="A778" i="1"/>
  <c r="B778" i="1"/>
  <c r="C778" i="1"/>
  <c r="A779" i="1"/>
  <c r="B779" i="1"/>
  <c r="C779" i="1"/>
  <c r="D779" i="1"/>
  <c r="E779" i="1"/>
  <c r="A781" i="1"/>
  <c r="B781" i="1"/>
  <c r="C781" i="1"/>
  <c r="A782" i="1"/>
  <c r="B782" i="1"/>
  <c r="C782" i="1"/>
  <c r="D782" i="1"/>
  <c r="E782" i="1"/>
  <c r="B783" i="1"/>
  <c r="A784" i="1"/>
  <c r="B784" i="1"/>
  <c r="C784" i="1"/>
  <c r="D784" i="1"/>
  <c r="E784" i="1"/>
  <c r="A786" i="1"/>
  <c r="B786" i="1"/>
  <c r="C786" i="1"/>
  <c r="A787" i="1"/>
  <c r="B787" i="1"/>
  <c r="C787" i="1"/>
  <c r="D787" i="1"/>
  <c r="E787" i="1"/>
  <c r="A790" i="1"/>
  <c r="B790" i="1"/>
  <c r="C790" i="1"/>
  <c r="A791" i="1"/>
  <c r="B791" i="1"/>
  <c r="C791" i="1"/>
  <c r="D791" i="1"/>
  <c r="E791" i="1"/>
  <c r="A794" i="1"/>
  <c r="B794" i="1"/>
  <c r="C794" i="1"/>
  <c r="A795" i="1"/>
  <c r="B795" i="1"/>
  <c r="C795" i="1"/>
  <c r="D795" i="1"/>
  <c r="E795" i="1"/>
  <c r="A798" i="1"/>
  <c r="B798" i="1"/>
  <c r="C798" i="1"/>
  <c r="A799" i="1"/>
  <c r="B799" i="1"/>
  <c r="C799" i="1"/>
  <c r="D799" i="1"/>
  <c r="E799" i="1"/>
  <c r="A802" i="1"/>
  <c r="B802" i="1"/>
  <c r="C802" i="1"/>
  <c r="A803" i="1"/>
  <c r="B803" i="1"/>
  <c r="C803" i="1"/>
  <c r="D803" i="1"/>
  <c r="E803" i="1"/>
  <c r="A806" i="1"/>
  <c r="B806" i="1"/>
  <c r="C806" i="1"/>
  <c r="A807" i="1"/>
  <c r="B807" i="1"/>
  <c r="C807" i="1"/>
  <c r="D807" i="1"/>
  <c r="E807" i="1"/>
  <c r="A810" i="1"/>
  <c r="B810" i="1"/>
  <c r="C810" i="1"/>
  <c r="A811" i="1"/>
  <c r="B811" i="1"/>
  <c r="C811" i="1"/>
  <c r="D811" i="1"/>
  <c r="E811" i="1"/>
  <c r="A814" i="1"/>
  <c r="B814" i="1"/>
  <c r="C814" i="1"/>
  <c r="A815" i="1"/>
  <c r="B815" i="1"/>
  <c r="C815" i="1"/>
  <c r="D815" i="1"/>
  <c r="E815" i="1"/>
  <c r="A818" i="1"/>
  <c r="B818" i="1"/>
  <c r="C818" i="1"/>
  <c r="A819" i="1"/>
  <c r="B819" i="1"/>
  <c r="C819" i="1"/>
  <c r="D819" i="1"/>
  <c r="E819" i="1"/>
  <c r="A822" i="1"/>
  <c r="B822" i="1"/>
  <c r="C822" i="1"/>
  <c r="A823" i="1"/>
  <c r="B823" i="1"/>
  <c r="C823" i="1"/>
  <c r="D823" i="1"/>
  <c r="E823" i="1"/>
  <c r="A826" i="1"/>
  <c r="B826" i="1"/>
  <c r="C826" i="1"/>
  <c r="A827" i="1"/>
  <c r="B827" i="1"/>
  <c r="C827" i="1"/>
  <c r="D827" i="1"/>
  <c r="E827" i="1"/>
  <c r="A830" i="1"/>
  <c r="B830" i="1"/>
  <c r="C830" i="1"/>
  <c r="A831" i="1"/>
  <c r="B831" i="1"/>
  <c r="C831" i="1"/>
  <c r="D831" i="1"/>
  <c r="E831" i="1"/>
  <c r="A834" i="1"/>
  <c r="B834" i="1"/>
  <c r="C834" i="1"/>
  <c r="A835" i="1"/>
  <c r="B835" i="1"/>
  <c r="C835" i="1"/>
  <c r="D835" i="1"/>
  <c r="E835" i="1"/>
  <c r="A838" i="1"/>
  <c r="B838" i="1"/>
  <c r="C838" i="1"/>
  <c r="A839" i="1"/>
  <c r="B839" i="1"/>
  <c r="C839" i="1"/>
  <c r="D839" i="1"/>
  <c r="E839" i="1"/>
  <c r="A841" i="1"/>
  <c r="B841" i="1"/>
  <c r="C841" i="1"/>
  <c r="A842" i="1"/>
  <c r="B842" i="1"/>
  <c r="C842" i="1"/>
  <c r="D842" i="1"/>
  <c r="E842" i="1"/>
  <c r="B843" i="1"/>
  <c r="A844" i="1"/>
  <c r="B844" i="1"/>
  <c r="C844" i="1"/>
  <c r="D844" i="1"/>
  <c r="E844" i="1"/>
  <c r="A846" i="1"/>
  <c r="B846" i="1"/>
  <c r="C846" i="1"/>
  <c r="A847" i="1"/>
  <c r="B847" i="1"/>
  <c r="C847" i="1"/>
  <c r="D847" i="1"/>
  <c r="E847" i="1"/>
  <c r="A850" i="1"/>
  <c r="B850" i="1"/>
  <c r="C850" i="1"/>
  <c r="A851" i="1"/>
  <c r="B851" i="1"/>
  <c r="C851" i="1"/>
  <c r="D851" i="1"/>
  <c r="E851" i="1"/>
  <c r="A854" i="1"/>
  <c r="B854" i="1"/>
  <c r="C854" i="1"/>
  <c r="A855" i="1"/>
  <c r="B855" i="1"/>
  <c r="C855" i="1"/>
  <c r="D855" i="1"/>
  <c r="E855" i="1"/>
  <c r="A858" i="1"/>
  <c r="B858" i="1"/>
  <c r="C858" i="1"/>
  <c r="A859" i="1"/>
  <c r="B859" i="1"/>
  <c r="C859" i="1"/>
  <c r="D859" i="1"/>
  <c r="E859" i="1"/>
  <c r="A862" i="1"/>
  <c r="B862" i="1"/>
  <c r="C862" i="1"/>
  <c r="A863" i="1"/>
  <c r="B863" i="1"/>
  <c r="C863" i="1"/>
  <c r="D863" i="1"/>
  <c r="E863" i="1"/>
  <c r="A866" i="1"/>
  <c r="B866" i="1"/>
  <c r="C866" i="1"/>
  <c r="A867" i="1"/>
  <c r="B867" i="1"/>
  <c r="C867" i="1"/>
  <c r="D867" i="1"/>
  <c r="E867" i="1"/>
  <c r="A870" i="1"/>
  <c r="B870" i="1"/>
  <c r="C870" i="1"/>
  <c r="A871" i="1"/>
  <c r="B871" i="1"/>
  <c r="C871" i="1"/>
  <c r="D871" i="1"/>
  <c r="E871" i="1"/>
  <c r="A874" i="1"/>
  <c r="B874" i="1"/>
  <c r="C874" i="1"/>
  <c r="A875" i="1"/>
  <c r="B875" i="1"/>
  <c r="C875" i="1"/>
  <c r="D875" i="1"/>
  <c r="E875" i="1"/>
  <c r="A878" i="1"/>
  <c r="B878" i="1"/>
  <c r="C878" i="1"/>
  <c r="A879" i="1"/>
  <c r="B879" i="1"/>
  <c r="C879" i="1"/>
  <c r="D879" i="1"/>
  <c r="E879" i="1"/>
  <c r="A882" i="1"/>
  <c r="B882" i="1"/>
  <c r="C882" i="1"/>
  <c r="A883" i="1"/>
  <c r="B883" i="1"/>
  <c r="C883" i="1"/>
  <c r="D883" i="1"/>
  <c r="E883" i="1"/>
  <c r="A886" i="1"/>
  <c r="B886" i="1"/>
  <c r="C886" i="1"/>
  <c r="A887" i="1"/>
  <c r="B887" i="1"/>
  <c r="C887" i="1"/>
  <c r="D887" i="1"/>
  <c r="E887" i="1"/>
  <c r="A890" i="1"/>
  <c r="B890" i="1"/>
  <c r="C890" i="1"/>
  <c r="A891" i="1"/>
  <c r="B891" i="1"/>
  <c r="C891" i="1"/>
  <c r="D891" i="1"/>
  <c r="E891" i="1"/>
  <c r="A894" i="1"/>
  <c r="B894" i="1"/>
  <c r="C894" i="1"/>
  <c r="A895" i="1"/>
  <c r="B895" i="1"/>
  <c r="C895" i="1"/>
  <c r="D895" i="1"/>
  <c r="E895" i="1"/>
  <c r="A898" i="1"/>
  <c r="B898" i="1"/>
  <c r="C898" i="1"/>
  <c r="A899" i="1"/>
  <c r="B899" i="1"/>
  <c r="C899" i="1"/>
  <c r="D899" i="1"/>
  <c r="E899" i="1"/>
  <c r="A901" i="1"/>
  <c r="B901" i="1"/>
  <c r="C901" i="1"/>
  <c r="A902" i="1"/>
  <c r="B902" i="1"/>
  <c r="C902" i="1"/>
  <c r="D902" i="1"/>
  <c r="E902" i="1"/>
  <c r="B903" i="1"/>
  <c r="A904" i="1"/>
  <c r="B904" i="1"/>
  <c r="C904" i="1"/>
  <c r="D904" i="1"/>
  <c r="E904" i="1"/>
  <c r="A906" i="1"/>
  <c r="B906" i="1"/>
  <c r="C906" i="1"/>
  <c r="A907" i="1"/>
  <c r="B907" i="1"/>
  <c r="C907" i="1"/>
  <c r="D907" i="1"/>
  <c r="E907" i="1"/>
  <c r="A910" i="1"/>
  <c r="B910" i="1"/>
  <c r="C910" i="1"/>
  <c r="A911" i="1"/>
  <c r="B911" i="1"/>
  <c r="C911" i="1"/>
  <c r="D911" i="1"/>
  <c r="E911" i="1"/>
  <c r="A914" i="1"/>
  <c r="B914" i="1"/>
  <c r="C914" i="1"/>
  <c r="A915" i="1"/>
  <c r="B915" i="1"/>
  <c r="C915" i="1"/>
  <c r="D915" i="1"/>
  <c r="E915" i="1"/>
  <c r="A918" i="1"/>
  <c r="B918" i="1"/>
  <c r="C918" i="1"/>
  <c r="A919" i="1"/>
  <c r="B919" i="1"/>
  <c r="C919" i="1"/>
  <c r="D919" i="1"/>
  <c r="E919" i="1"/>
  <c r="A922" i="1"/>
  <c r="B922" i="1"/>
  <c r="C922" i="1"/>
  <c r="A923" i="1"/>
  <c r="B923" i="1"/>
  <c r="C923" i="1"/>
  <c r="D923" i="1"/>
  <c r="E923" i="1"/>
  <c r="A926" i="1"/>
  <c r="B926" i="1"/>
  <c r="C926" i="1"/>
  <c r="A927" i="1"/>
  <c r="B927" i="1"/>
  <c r="C927" i="1"/>
  <c r="D927" i="1"/>
  <c r="E927" i="1"/>
  <c r="A930" i="1"/>
  <c r="B930" i="1"/>
  <c r="C930" i="1"/>
  <c r="A931" i="1"/>
  <c r="B931" i="1"/>
  <c r="C931" i="1"/>
  <c r="D931" i="1"/>
  <c r="E931" i="1"/>
  <c r="A934" i="1"/>
  <c r="B934" i="1"/>
  <c r="C934" i="1"/>
  <c r="A935" i="1"/>
  <c r="B935" i="1"/>
  <c r="C935" i="1"/>
  <c r="D935" i="1"/>
  <c r="E935" i="1"/>
  <c r="A938" i="1"/>
  <c r="B938" i="1"/>
  <c r="C938" i="1"/>
  <c r="A939" i="1"/>
  <c r="B939" i="1"/>
  <c r="C939" i="1"/>
  <c r="D939" i="1"/>
  <c r="E939" i="1"/>
  <c r="A942" i="1"/>
  <c r="B942" i="1"/>
  <c r="C942" i="1"/>
  <c r="A943" i="1"/>
  <c r="B943" i="1"/>
  <c r="C943" i="1"/>
  <c r="D943" i="1"/>
  <c r="E943" i="1"/>
  <c r="A946" i="1"/>
  <c r="B946" i="1"/>
  <c r="C946" i="1"/>
  <c r="A947" i="1"/>
  <c r="B947" i="1"/>
  <c r="C947" i="1"/>
  <c r="D947" i="1"/>
  <c r="E947" i="1"/>
  <c r="A950" i="1"/>
  <c r="B950" i="1"/>
  <c r="C950" i="1"/>
  <c r="A951" i="1"/>
  <c r="B951" i="1"/>
  <c r="C951" i="1"/>
  <c r="D951" i="1"/>
  <c r="E951" i="1"/>
  <c r="A954" i="1"/>
  <c r="B954" i="1"/>
  <c r="C954" i="1"/>
  <c r="A955" i="1"/>
  <c r="B955" i="1"/>
  <c r="C955" i="1"/>
  <c r="D955" i="1"/>
  <c r="E955" i="1"/>
  <c r="A958" i="1"/>
  <c r="B958" i="1"/>
  <c r="C958" i="1"/>
  <c r="A959" i="1"/>
  <c r="B959" i="1"/>
  <c r="C959" i="1"/>
  <c r="D959" i="1"/>
  <c r="E959" i="1"/>
  <c r="A961" i="1"/>
  <c r="B961" i="1"/>
  <c r="C961" i="1"/>
  <c r="A962" i="1"/>
  <c r="B962" i="1"/>
  <c r="C962" i="1"/>
  <c r="D962" i="1"/>
  <c r="E962" i="1"/>
  <c r="B963" i="1"/>
  <c r="A964" i="1"/>
  <c r="B964" i="1"/>
  <c r="C964" i="1"/>
  <c r="D964" i="1"/>
  <c r="E964" i="1"/>
  <c r="A966" i="1"/>
  <c r="B966" i="1"/>
  <c r="C966" i="1"/>
  <c r="A967" i="1"/>
  <c r="B967" i="1"/>
  <c r="C967" i="1"/>
  <c r="D967" i="1"/>
  <c r="E967" i="1"/>
  <c r="A970" i="1"/>
  <c r="B970" i="1"/>
  <c r="C970" i="1"/>
  <c r="A971" i="1"/>
  <c r="B971" i="1"/>
  <c r="C971" i="1"/>
  <c r="D971" i="1"/>
  <c r="E971" i="1"/>
  <c r="A974" i="1"/>
  <c r="B974" i="1"/>
  <c r="C974" i="1"/>
  <c r="A975" i="1"/>
  <c r="B975" i="1"/>
  <c r="C975" i="1"/>
  <c r="D975" i="1"/>
  <c r="E975" i="1"/>
  <c r="A978" i="1"/>
  <c r="B978" i="1"/>
  <c r="C978" i="1"/>
  <c r="A979" i="1"/>
  <c r="B979" i="1"/>
  <c r="C979" i="1"/>
  <c r="D979" i="1"/>
  <c r="E979" i="1"/>
  <c r="A982" i="1"/>
  <c r="B982" i="1"/>
  <c r="C982" i="1"/>
  <c r="A983" i="1"/>
  <c r="B983" i="1"/>
  <c r="C983" i="1"/>
  <c r="D983" i="1"/>
  <c r="E983" i="1"/>
  <c r="A986" i="1"/>
  <c r="B986" i="1"/>
  <c r="C986" i="1"/>
  <c r="A987" i="1"/>
  <c r="B987" i="1"/>
  <c r="C987" i="1"/>
  <c r="D987" i="1"/>
  <c r="E987" i="1"/>
  <c r="A990" i="1"/>
  <c r="B990" i="1"/>
  <c r="C990" i="1"/>
  <c r="A991" i="1"/>
  <c r="B991" i="1"/>
  <c r="C991" i="1"/>
  <c r="D991" i="1"/>
  <c r="E991" i="1"/>
  <c r="A994" i="1"/>
  <c r="B994" i="1"/>
  <c r="C994" i="1"/>
  <c r="A995" i="1"/>
  <c r="B995" i="1"/>
  <c r="C995" i="1"/>
  <c r="D995" i="1"/>
  <c r="E995" i="1"/>
  <c r="A998" i="1"/>
  <c r="B998" i="1"/>
  <c r="C998" i="1"/>
  <c r="A999" i="1"/>
  <c r="B999" i="1"/>
  <c r="C999" i="1"/>
  <c r="D999" i="1"/>
  <c r="E999" i="1"/>
  <c r="A1002" i="1"/>
  <c r="B1002" i="1"/>
  <c r="C1002" i="1"/>
  <c r="A1003" i="1"/>
  <c r="B1003" i="1"/>
  <c r="C1003" i="1"/>
  <c r="D1003" i="1"/>
  <c r="E1003" i="1"/>
  <c r="A1006" i="1"/>
  <c r="B1006" i="1"/>
  <c r="C1006" i="1"/>
  <c r="A1007" i="1"/>
  <c r="B1007" i="1"/>
  <c r="C1007" i="1"/>
  <c r="D1007" i="1"/>
  <c r="E1007" i="1"/>
  <c r="A1010" i="1"/>
  <c r="B1010" i="1"/>
  <c r="C1010" i="1"/>
  <c r="A1011" i="1"/>
  <c r="B1011" i="1"/>
  <c r="C1011" i="1"/>
  <c r="D1011" i="1"/>
  <c r="E1011" i="1"/>
  <c r="A1014" i="1"/>
  <c r="B1014" i="1"/>
  <c r="C1014" i="1"/>
  <c r="A1015" i="1"/>
  <c r="B1015" i="1"/>
  <c r="C1015" i="1"/>
  <c r="D1015" i="1"/>
  <c r="E1015" i="1"/>
  <c r="A1018" i="1"/>
  <c r="B1018" i="1"/>
  <c r="C1018" i="1"/>
  <c r="A1019" i="1"/>
  <c r="B1019" i="1"/>
  <c r="C1019" i="1"/>
  <c r="D1019" i="1"/>
  <c r="E1019" i="1"/>
  <c r="A1021" i="1"/>
  <c r="B1021" i="1"/>
  <c r="C1021" i="1"/>
  <c r="A1022" i="1"/>
  <c r="B1022" i="1"/>
  <c r="C1022" i="1"/>
  <c r="D1022" i="1"/>
  <c r="E1022" i="1"/>
  <c r="B1023" i="1"/>
  <c r="A1024" i="1"/>
  <c r="B1024" i="1"/>
  <c r="C1024" i="1"/>
  <c r="D1024" i="1"/>
  <c r="E1024" i="1"/>
  <c r="A1026" i="1"/>
  <c r="B1026" i="1"/>
  <c r="C1026" i="1"/>
  <c r="A1027" i="1"/>
  <c r="B1027" i="1"/>
  <c r="C1027" i="1"/>
  <c r="D1027" i="1"/>
  <c r="E1027" i="1"/>
  <c r="A1030" i="1"/>
  <c r="B1030" i="1"/>
  <c r="C1030" i="1"/>
  <c r="A1031" i="1"/>
  <c r="B1031" i="1"/>
  <c r="C1031" i="1"/>
  <c r="D1031" i="1"/>
  <c r="E1031" i="1"/>
  <c r="A1034" i="1"/>
  <c r="B1034" i="1"/>
  <c r="C1034" i="1"/>
  <c r="A1035" i="1"/>
  <c r="B1035" i="1"/>
  <c r="C1035" i="1"/>
  <c r="D1035" i="1"/>
  <c r="E1035" i="1"/>
  <c r="A1038" i="1"/>
  <c r="B1038" i="1"/>
  <c r="C1038" i="1"/>
  <c r="A1039" i="1"/>
  <c r="B1039" i="1"/>
  <c r="C1039" i="1"/>
  <c r="D1039" i="1"/>
  <c r="E1039" i="1"/>
  <c r="A1042" i="1"/>
  <c r="B1042" i="1"/>
  <c r="C1042" i="1"/>
  <c r="A1043" i="1"/>
  <c r="B1043" i="1"/>
  <c r="C1043" i="1"/>
  <c r="D1043" i="1"/>
  <c r="E1043" i="1"/>
  <c r="A1046" i="1"/>
  <c r="B1046" i="1"/>
  <c r="C1046" i="1"/>
  <c r="A1047" i="1"/>
  <c r="B1047" i="1"/>
  <c r="C1047" i="1"/>
  <c r="D1047" i="1"/>
  <c r="E1047" i="1"/>
  <c r="A1050" i="1"/>
  <c r="B1050" i="1"/>
  <c r="C1050" i="1"/>
  <c r="A1051" i="1"/>
  <c r="B1051" i="1"/>
  <c r="C1051" i="1"/>
  <c r="D1051" i="1"/>
  <c r="E1051" i="1"/>
  <c r="A1054" i="1"/>
  <c r="B1054" i="1"/>
  <c r="C1054" i="1"/>
  <c r="A1055" i="1"/>
  <c r="B1055" i="1"/>
  <c r="C1055" i="1"/>
  <c r="D1055" i="1"/>
  <c r="E1055" i="1"/>
  <c r="A1058" i="1"/>
  <c r="B1058" i="1"/>
  <c r="C1058" i="1"/>
  <c r="A1059" i="1"/>
  <c r="B1059" i="1"/>
  <c r="C1059" i="1"/>
  <c r="D1059" i="1"/>
  <c r="E1059" i="1"/>
  <c r="A1062" i="1"/>
  <c r="B1062" i="1"/>
  <c r="C1062" i="1"/>
  <c r="A1063" i="1"/>
  <c r="B1063" i="1"/>
  <c r="C1063" i="1"/>
  <c r="D1063" i="1"/>
  <c r="E1063" i="1"/>
  <c r="A1066" i="1"/>
  <c r="B1066" i="1"/>
  <c r="C1066" i="1"/>
  <c r="A1067" i="1"/>
  <c r="B1067" i="1"/>
  <c r="C1067" i="1"/>
  <c r="D1067" i="1"/>
  <c r="E1067" i="1"/>
  <c r="A1070" i="1"/>
  <c r="B1070" i="1"/>
  <c r="C1070" i="1"/>
  <c r="A1071" i="1"/>
  <c r="B1071" i="1"/>
  <c r="C1071" i="1"/>
  <c r="D1071" i="1"/>
  <c r="E1071" i="1"/>
  <c r="A1074" i="1"/>
  <c r="B1074" i="1"/>
  <c r="C1074" i="1"/>
  <c r="A1075" i="1"/>
  <c r="B1075" i="1"/>
  <c r="C1075" i="1"/>
  <c r="D1075" i="1"/>
  <c r="E1075" i="1"/>
  <c r="A1078" i="1"/>
  <c r="B1078" i="1"/>
  <c r="C1078" i="1"/>
  <c r="A1079" i="1"/>
  <c r="B1079" i="1"/>
  <c r="C1079" i="1"/>
  <c r="D1079" i="1"/>
  <c r="E1079" i="1"/>
  <c r="A1081" i="1"/>
  <c r="B1081" i="1"/>
  <c r="C1081" i="1"/>
  <c r="A1082" i="1"/>
  <c r="B1082" i="1"/>
  <c r="C1082" i="1"/>
  <c r="D1082" i="1"/>
  <c r="E1082" i="1"/>
  <c r="B1083" i="1"/>
  <c r="A1084" i="1"/>
  <c r="B1084" i="1"/>
  <c r="C1084" i="1"/>
  <c r="D1084" i="1"/>
  <c r="E1084" i="1"/>
  <c r="A1086" i="1"/>
  <c r="B1086" i="1"/>
  <c r="C1086" i="1"/>
  <c r="A1087" i="1"/>
  <c r="B1087" i="1"/>
  <c r="C1087" i="1"/>
  <c r="D1087" i="1"/>
  <c r="E1087" i="1"/>
  <c r="A1090" i="1"/>
  <c r="B1090" i="1"/>
  <c r="C1090" i="1"/>
  <c r="A1091" i="1"/>
  <c r="B1091" i="1"/>
  <c r="C1091" i="1"/>
  <c r="D1091" i="1"/>
  <c r="E1091" i="1"/>
  <c r="A1094" i="1"/>
  <c r="B1094" i="1"/>
  <c r="C1094" i="1"/>
  <c r="A1095" i="1"/>
  <c r="B1095" i="1"/>
  <c r="C1095" i="1"/>
  <c r="D1095" i="1"/>
  <c r="E1095" i="1"/>
  <c r="A1098" i="1"/>
  <c r="B1098" i="1"/>
  <c r="C1098" i="1"/>
  <c r="A1099" i="1"/>
  <c r="B1099" i="1"/>
  <c r="C1099" i="1"/>
  <c r="D1099" i="1"/>
  <c r="E1099" i="1"/>
  <c r="A1102" i="1"/>
  <c r="B1102" i="1"/>
  <c r="C1102" i="1"/>
  <c r="A1103" i="1"/>
  <c r="B1103" i="1"/>
  <c r="C1103" i="1"/>
  <c r="D1103" i="1"/>
  <c r="E1103" i="1"/>
  <c r="A1106" i="1"/>
  <c r="B1106" i="1"/>
  <c r="C1106" i="1"/>
  <c r="A1107" i="1"/>
  <c r="B1107" i="1"/>
  <c r="C1107" i="1"/>
  <c r="D1107" i="1"/>
  <c r="E1107" i="1"/>
  <c r="A1110" i="1"/>
  <c r="B1110" i="1"/>
  <c r="C1110" i="1"/>
  <c r="A1111" i="1"/>
  <c r="B1111" i="1"/>
  <c r="C1111" i="1"/>
  <c r="D1111" i="1"/>
  <c r="E1111" i="1"/>
  <c r="A1114" i="1"/>
  <c r="B1114" i="1"/>
  <c r="C1114" i="1"/>
  <c r="A1115" i="1"/>
  <c r="B1115" i="1"/>
  <c r="C1115" i="1"/>
  <c r="D1115" i="1"/>
  <c r="E1115" i="1"/>
  <c r="A1118" i="1"/>
  <c r="B1118" i="1"/>
  <c r="C1118" i="1"/>
  <c r="A1119" i="1"/>
  <c r="B1119" i="1"/>
  <c r="C1119" i="1"/>
  <c r="D1119" i="1"/>
  <c r="E1119" i="1"/>
  <c r="A1122" i="1"/>
  <c r="B1122" i="1"/>
  <c r="C1122" i="1"/>
  <c r="A1123" i="1"/>
  <c r="B1123" i="1"/>
  <c r="C1123" i="1"/>
  <c r="D1123" i="1"/>
  <c r="E1123" i="1"/>
  <c r="A1126" i="1"/>
  <c r="B1126" i="1"/>
  <c r="C1126" i="1"/>
  <c r="A1127" i="1"/>
  <c r="B1127" i="1"/>
  <c r="C1127" i="1"/>
  <c r="D1127" i="1"/>
  <c r="E1127" i="1"/>
  <c r="A1130" i="1"/>
  <c r="B1130" i="1"/>
  <c r="C1130" i="1"/>
  <c r="A1131" i="1"/>
  <c r="B1131" i="1"/>
  <c r="C1131" i="1"/>
  <c r="D1131" i="1"/>
  <c r="E1131" i="1"/>
  <c r="A1134" i="1"/>
  <c r="B1134" i="1"/>
  <c r="C1134" i="1"/>
  <c r="A1135" i="1"/>
  <c r="B1135" i="1"/>
  <c r="C1135" i="1"/>
  <c r="D1135" i="1"/>
  <c r="E1135" i="1"/>
  <c r="A1138" i="1"/>
  <c r="B1138" i="1"/>
  <c r="C1138" i="1"/>
  <c r="A1139" i="1"/>
  <c r="B1139" i="1"/>
  <c r="C1139" i="1"/>
  <c r="D1139" i="1"/>
  <c r="E1139" i="1"/>
  <c r="A1141" i="1"/>
  <c r="B1141" i="1"/>
  <c r="C1141" i="1"/>
  <c r="A1142" i="1"/>
  <c r="B1142" i="1"/>
  <c r="C1142" i="1"/>
  <c r="D1142" i="1"/>
  <c r="E1142" i="1"/>
  <c r="B1143" i="1"/>
  <c r="A1144" i="1"/>
  <c r="B1144" i="1"/>
  <c r="C1144" i="1"/>
  <c r="D1144" i="1"/>
  <c r="E1144" i="1"/>
  <c r="A1146" i="1"/>
  <c r="B1146" i="1"/>
  <c r="C1146" i="1"/>
  <c r="A1147" i="1"/>
  <c r="B1147" i="1"/>
  <c r="C1147" i="1"/>
  <c r="D1147" i="1"/>
  <c r="E1147" i="1"/>
  <c r="A1150" i="1"/>
  <c r="B1150" i="1"/>
  <c r="C1150" i="1"/>
  <c r="A1151" i="1"/>
  <c r="B1151" i="1"/>
  <c r="C1151" i="1"/>
  <c r="D1151" i="1"/>
  <c r="E1151" i="1"/>
  <c r="A1154" i="1"/>
  <c r="B1154" i="1"/>
  <c r="C1154" i="1"/>
  <c r="A1155" i="1"/>
  <c r="B1155" i="1"/>
  <c r="C1155" i="1"/>
  <c r="D1155" i="1"/>
  <c r="E1155" i="1"/>
  <c r="A1158" i="1"/>
  <c r="B1158" i="1"/>
  <c r="C1158" i="1"/>
  <c r="A1159" i="1"/>
  <c r="B1159" i="1"/>
  <c r="C1159" i="1"/>
  <c r="D1159" i="1"/>
  <c r="E1159" i="1"/>
  <c r="A1162" i="1"/>
  <c r="B1162" i="1"/>
  <c r="C1162" i="1"/>
  <c r="A1163" i="1"/>
  <c r="B1163" i="1"/>
  <c r="C1163" i="1"/>
  <c r="D1163" i="1"/>
  <c r="E1163" i="1"/>
  <c r="A1166" i="1"/>
  <c r="B1166" i="1"/>
  <c r="C1166" i="1"/>
  <c r="A1167" i="1"/>
  <c r="B1167" i="1"/>
  <c r="C1167" i="1"/>
  <c r="D1167" i="1"/>
  <c r="E1167" i="1"/>
  <c r="A1170" i="1"/>
  <c r="B1170" i="1"/>
  <c r="C1170" i="1"/>
  <c r="A1171" i="1"/>
  <c r="B1171" i="1"/>
  <c r="C1171" i="1"/>
  <c r="D1171" i="1"/>
  <c r="E1171" i="1"/>
  <c r="A1174" i="1"/>
  <c r="B1174" i="1"/>
  <c r="C1174" i="1"/>
  <c r="A1175" i="1"/>
  <c r="B1175" i="1"/>
  <c r="C1175" i="1"/>
  <c r="D1175" i="1"/>
  <c r="E1175" i="1"/>
  <c r="A1178" i="1"/>
  <c r="B1178" i="1"/>
  <c r="C1178" i="1"/>
  <c r="A1179" i="1"/>
  <c r="B1179" i="1"/>
  <c r="C1179" i="1"/>
  <c r="D1179" i="1"/>
  <c r="E1179" i="1"/>
  <c r="A1182" i="1"/>
  <c r="B1182" i="1"/>
  <c r="C1182" i="1"/>
  <c r="A1183" i="1"/>
  <c r="B1183" i="1"/>
  <c r="C1183" i="1"/>
  <c r="D1183" i="1"/>
  <c r="E1183" i="1"/>
  <c r="A1186" i="1"/>
  <c r="B1186" i="1"/>
  <c r="C1186" i="1"/>
  <c r="A1187" i="1"/>
  <c r="B1187" i="1"/>
  <c r="C1187" i="1"/>
  <c r="D1187" i="1"/>
  <c r="E1187" i="1"/>
  <c r="A1190" i="1"/>
  <c r="B1190" i="1"/>
  <c r="C1190" i="1"/>
  <c r="A1191" i="1"/>
  <c r="B1191" i="1"/>
  <c r="C1191" i="1"/>
  <c r="D1191" i="1"/>
  <c r="E1191" i="1"/>
  <c r="A1194" i="1"/>
  <c r="B1194" i="1"/>
  <c r="C1194" i="1"/>
  <c r="A1195" i="1"/>
  <c r="B1195" i="1"/>
  <c r="C1195" i="1"/>
  <c r="D1195" i="1"/>
  <c r="E1195" i="1"/>
  <c r="A1198" i="1"/>
  <c r="B1198" i="1"/>
  <c r="C1198" i="1"/>
  <c r="A1199" i="1"/>
  <c r="B1199" i="1"/>
  <c r="C1199" i="1"/>
  <c r="D1199" i="1"/>
  <c r="E1199" i="1"/>
  <c r="A1201" i="1"/>
  <c r="B1201" i="1"/>
  <c r="C1201" i="1"/>
  <c r="A1202" i="1"/>
  <c r="B1202" i="1"/>
  <c r="C1202" i="1"/>
  <c r="D1202" i="1"/>
  <c r="E1202" i="1"/>
  <c r="B1203" i="1"/>
  <c r="A1204" i="1"/>
  <c r="B1204" i="1"/>
  <c r="C1204" i="1"/>
  <c r="D1204" i="1"/>
  <c r="E1204" i="1"/>
  <c r="A1206" i="1"/>
  <c r="B1206" i="1"/>
  <c r="C1206" i="1"/>
  <c r="A1207" i="1"/>
  <c r="B1207" i="1"/>
  <c r="C1207" i="1"/>
  <c r="D1207" i="1"/>
  <c r="E1207" i="1"/>
  <c r="A1210" i="1"/>
  <c r="B1210" i="1"/>
  <c r="C1210" i="1"/>
  <c r="A1211" i="1"/>
  <c r="B1211" i="1"/>
  <c r="C1211" i="1"/>
  <c r="D1211" i="1"/>
  <c r="E1211" i="1"/>
  <c r="A1214" i="1"/>
  <c r="B1214" i="1"/>
  <c r="C1214" i="1"/>
  <c r="A1215" i="1"/>
  <c r="B1215" i="1"/>
  <c r="C1215" i="1"/>
  <c r="D1215" i="1"/>
  <c r="E1215" i="1"/>
  <c r="A1218" i="1"/>
  <c r="B1218" i="1"/>
  <c r="C1218" i="1"/>
  <c r="A1219" i="1"/>
  <c r="B1219" i="1"/>
  <c r="C1219" i="1"/>
  <c r="D1219" i="1"/>
  <c r="E1219" i="1"/>
  <c r="A1222" i="1"/>
  <c r="B1222" i="1"/>
  <c r="C1222" i="1"/>
  <c r="A1223" i="1"/>
  <c r="B1223" i="1"/>
  <c r="C1223" i="1"/>
  <c r="D1223" i="1"/>
  <c r="E1223" i="1"/>
  <c r="A1226" i="1"/>
  <c r="B1226" i="1"/>
  <c r="C1226" i="1"/>
  <c r="A1227" i="1"/>
  <c r="B1227" i="1"/>
  <c r="C1227" i="1"/>
  <c r="D1227" i="1"/>
  <c r="E1227" i="1"/>
  <c r="A1230" i="1"/>
  <c r="B1230" i="1"/>
  <c r="C1230" i="1"/>
  <c r="A1231" i="1"/>
  <c r="B1231" i="1"/>
  <c r="C1231" i="1"/>
  <c r="D1231" i="1"/>
  <c r="E1231" i="1"/>
  <c r="A1234" i="1"/>
  <c r="B1234" i="1"/>
  <c r="C1234" i="1"/>
  <c r="A1235" i="1"/>
  <c r="B1235" i="1"/>
  <c r="C1235" i="1"/>
  <c r="D1235" i="1"/>
  <c r="E1235" i="1"/>
  <c r="A1238" i="1"/>
  <c r="B1238" i="1"/>
  <c r="C1238" i="1"/>
  <c r="A1239" i="1"/>
  <c r="B1239" i="1"/>
  <c r="C1239" i="1"/>
  <c r="D1239" i="1"/>
  <c r="E1239" i="1"/>
  <c r="A1242" i="1"/>
  <c r="B1242" i="1"/>
  <c r="C1242" i="1"/>
  <c r="A1243" i="1"/>
  <c r="B1243" i="1"/>
  <c r="C1243" i="1"/>
  <c r="D1243" i="1"/>
  <c r="E1243" i="1"/>
  <c r="A1246" i="1"/>
  <c r="B1246" i="1"/>
  <c r="C1246" i="1"/>
  <c r="A1247" i="1"/>
  <c r="B1247" i="1"/>
  <c r="C1247" i="1"/>
  <c r="D1247" i="1"/>
  <c r="E1247" i="1"/>
  <c r="A1250" i="1"/>
  <c r="B1250" i="1"/>
  <c r="C1250" i="1"/>
  <c r="A1251" i="1"/>
  <c r="B1251" i="1"/>
  <c r="C1251" i="1"/>
  <c r="D1251" i="1"/>
  <c r="E1251" i="1"/>
  <c r="A1254" i="1"/>
  <c r="B1254" i="1"/>
  <c r="C1254" i="1"/>
  <c r="A1255" i="1"/>
  <c r="B1255" i="1"/>
  <c r="C1255" i="1"/>
  <c r="D1255" i="1"/>
  <c r="E1255" i="1"/>
  <c r="A1258" i="1"/>
  <c r="B1258" i="1"/>
  <c r="C1258" i="1"/>
  <c r="A1259" i="1"/>
  <c r="B1259" i="1"/>
  <c r="C1259" i="1"/>
  <c r="D1259" i="1"/>
  <c r="E1259" i="1"/>
  <c r="A1261" i="1"/>
  <c r="B1261" i="1"/>
  <c r="C1261" i="1"/>
  <c r="A1262" i="1"/>
  <c r="B1262" i="1"/>
  <c r="C1262" i="1"/>
  <c r="D1262" i="1"/>
  <c r="E1262" i="1"/>
  <c r="B1263" i="1"/>
  <c r="A1264" i="1"/>
  <c r="B1264" i="1"/>
  <c r="C1264" i="1"/>
  <c r="D1264" i="1"/>
  <c r="E1264" i="1"/>
  <c r="A1266" i="1"/>
  <c r="B1266" i="1"/>
  <c r="C1266" i="1"/>
  <c r="A1267" i="1"/>
  <c r="B1267" i="1"/>
  <c r="C1267" i="1"/>
  <c r="D1267" i="1"/>
  <c r="E1267" i="1"/>
  <c r="A1270" i="1"/>
  <c r="B1270" i="1"/>
  <c r="C1270" i="1"/>
  <c r="A1271" i="1"/>
  <c r="B1271" i="1"/>
  <c r="C1271" i="1"/>
  <c r="D1271" i="1"/>
  <c r="E1271" i="1"/>
  <c r="A1274" i="1"/>
  <c r="B1274" i="1"/>
  <c r="C1274" i="1"/>
  <c r="A1275" i="1"/>
  <c r="B1275" i="1"/>
  <c r="C1275" i="1"/>
  <c r="D1275" i="1"/>
  <c r="E1275" i="1"/>
  <c r="A1278" i="1"/>
  <c r="B1278" i="1"/>
  <c r="C1278" i="1"/>
  <c r="A1279" i="1"/>
  <c r="B1279" i="1"/>
  <c r="C1279" i="1"/>
  <c r="D1279" i="1"/>
  <c r="E1279" i="1"/>
  <c r="A1282" i="1"/>
  <c r="B1282" i="1"/>
  <c r="C1282" i="1"/>
  <c r="A1283" i="1"/>
  <c r="B1283" i="1"/>
  <c r="C1283" i="1"/>
  <c r="D1283" i="1"/>
  <c r="E1283" i="1"/>
  <c r="A1286" i="1"/>
  <c r="B1286" i="1"/>
  <c r="C1286" i="1"/>
  <c r="A1287" i="1"/>
  <c r="B1287" i="1"/>
  <c r="C1287" i="1"/>
  <c r="D1287" i="1"/>
  <c r="E1287" i="1"/>
  <c r="A1290" i="1"/>
  <c r="B1290" i="1"/>
  <c r="C1290" i="1"/>
  <c r="A1291" i="1"/>
  <c r="B1291" i="1"/>
  <c r="C1291" i="1"/>
  <c r="D1291" i="1"/>
  <c r="E1291" i="1"/>
  <c r="A1294" i="1"/>
  <c r="B1294" i="1"/>
  <c r="C1294" i="1"/>
  <c r="A1295" i="1"/>
  <c r="B1295" i="1"/>
  <c r="C1295" i="1"/>
  <c r="D1295" i="1"/>
  <c r="E1295" i="1"/>
  <c r="A1298" i="1"/>
  <c r="B1298" i="1"/>
  <c r="C1298" i="1"/>
  <c r="A1299" i="1"/>
  <c r="B1299" i="1"/>
  <c r="C1299" i="1"/>
  <c r="D1299" i="1"/>
  <c r="E1299" i="1"/>
  <c r="A1302" i="1"/>
  <c r="B1302" i="1"/>
  <c r="C1302" i="1"/>
  <c r="A1303" i="1"/>
  <c r="B1303" i="1"/>
  <c r="C1303" i="1"/>
  <c r="D1303" i="1"/>
  <c r="E1303" i="1"/>
  <c r="A1306" i="1"/>
  <c r="B1306" i="1"/>
  <c r="C1306" i="1"/>
  <c r="A1307" i="1"/>
  <c r="B1307" i="1"/>
  <c r="C1307" i="1"/>
  <c r="D1307" i="1"/>
  <c r="E1307" i="1"/>
  <c r="A1310" i="1"/>
  <c r="B1310" i="1"/>
  <c r="C1310" i="1"/>
  <c r="A1311" i="1"/>
  <c r="B1311" i="1"/>
  <c r="C1311" i="1"/>
  <c r="D1311" i="1"/>
  <c r="E1311" i="1"/>
  <c r="A1314" i="1"/>
  <c r="B1314" i="1"/>
  <c r="C1314" i="1"/>
  <c r="A1315" i="1"/>
  <c r="B1315" i="1"/>
  <c r="C1315" i="1"/>
  <c r="D1315" i="1"/>
  <c r="E1315" i="1"/>
  <c r="A1318" i="1"/>
  <c r="B1318" i="1"/>
  <c r="C1318" i="1"/>
  <c r="A1319" i="1"/>
  <c r="B1319" i="1"/>
  <c r="C1319" i="1"/>
  <c r="D1319" i="1"/>
  <c r="E1319" i="1"/>
  <c r="A1321" i="1"/>
  <c r="B1321" i="1"/>
  <c r="C1321" i="1"/>
  <c r="A1322" i="1"/>
  <c r="B1322" i="1"/>
  <c r="C1322" i="1"/>
  <c r="D1322" i="1"/>
  <c r="E1322" i="1"/>
  <c r="B1323" i="1"/>
  <c r="A1324" i="1"/>
  <c r="B1324" i="1"/>
  <c r="C1324" i="1"/>
  <c r="D1324" i="1"/>
  <c r="E1324" i="1"/>
  <c r="A1326" i="1"/>
  <c r="B1326" i="1"/>
  <c r="C1326" i="1"/>
  <c r="A1327" i="1"/>
  <c r="B1327" i="1"/>
  <c r="C1327" i="1"/>
  <c r="D1327" i="1"/>
  <c r="E1327" i="1"/>
  <c r="A1330" i="1"/>
  <c r="B1330" i="1"/>
  <c r="C1330" i="1"/>
  <c r="A1331" i="1"/>
  <c r="B1331" i="1"/>
  <c r="C1331" i="1"/>
  <c r="D1331" i="1"/>
  <c r="E1331" i="1"/>
  <c r="A1334" i="1"/>
  <c r="B1334" i="1"/>
  <c r="C1334" i="1"/>
  <c r="A1335" i="1"/>
  <c r="B1335" i="1"/>
  <c r="C1335" i="1"/>
  <c r="D1335" i="1"/>
  <c r="E1335" i="1"/>
  <c r="A1338" i="1"/>
  <c r="B1338" i="1"/>
  <c r="C1338" i="1"/>
  <c r="A1339" i="1"/>
  <c r="B1339" i="1"/>
  <c r="C1339" i="1"/>
  <c r="D1339" i="1"/>
  <c r="E1339" i="1"/>
  <c r="A1342" i="1"/>
  <c r="B1342" i="1"/>
  <c r="C1342" i="1"/>
  <c r="A1343" i="1"/>
  <c r="B1343" i="1"/>
  <c r="C1343" i="1"/>
  <c r="D1343" i="1"/>
  <c r="E1343" i="1"/>
  <c r="A1346" i="1"/>
  <c r="B1346" i="1"/>
  <c r="C1346" i="1"/>
  <c r="A1347" i="1"/>
  <c r="B1347" i="1"/>
  <c r="C1347" i="1"/>
  <c r="D1347" i="1"/>
  <c r="E1347" i="1"/>
  <c r="A1350" i="1"/>
  <c r="B1350" i="1"/>
  <c r="C1350" i="1"/>
  <c r="A1351" i="1"/>
  <c r="B1351" i="1"/>
  <c r="C1351" i="1"/>
  <c r="D1351" i="1"/>
  <c r="E1351" i="1"/>
  <c r="A1354" i="1"/>
  <c r="B1354" i="1"/>
  <c r="C1354" i="1"/>
  <c r="A1355" i="1"/>
  <c r="B1355" i="1"/>
  <c r="C1355" i="1"/>
  <c r="D1355" i="1"/>
  <c r="E1355" i="1"/>
  <c r="A1358" i="1"/>
  <c r="B1358" i="1"/>
  <c r="C1358" i="1"/>
  <c r="A1359" i="1"/>
  <c r="B1359" i="1"/>
  <c r="C1359" i="1"/>
  <c r="D1359" i="1"/>
  <c r="E1359" i="1"/>
  <c r="A1362" i="1"/>
  <c r="B1362" i="1"/>
  <c r="C1362" i="1"/>
  <c r="A1363" i="1"/>
  <c r="B1363" i="1"/>
  <c r="C1363" i="1"/>
  <c r="D1363" i="1"/>
  <c r="E1363" i="1"/>
  <c r="A1366" i="1"/>
  <c r="B1366" i="1"/>
  <c r="C1366" i="1"/>
  <c r="A1367" i="1"/>
  <c r="B1367" i="1"/>
  <c r="C1367" i="1"/>
  <c r="D1367" i="1"/>
  <c r="E1367" i="1"/>
  <c r="A1370" i="1"/>
  <c r="B1370" i="1"/>
  <c r="C1370" i="1"/>
  <c r="A1371" i="1"/>
  <c r="B1371" i="1"/>
  <c r="C1371" i="1"/>
  <c r="D1371" i="1"/>
  <c r="E1371" i="1"/>
  <c r="A1374" i="1"/>
  <c r="B1374" i="1"/>
  <c r="C1374" i="1"/>
  <c r="A1375" i="1"/>
  <c r="B1375" i="1"/>
  <c r="C1375" i="1"/>
  <c r="D1375" i="1"/>
  <c r="E1375" i="1"/>
  <c r="A1378" i="1"/>
  <c r="B1378" i="1"/>
  <c r="C1378" i="1"/>
  <c r="A1379" i="1"/>
  <c r="B1379" i="1"/>
  <c r="C1379" i="1"/>
  <c r="D1379" i="1"/>
  <c r="E1379" i="1"/>
  <c r="A1381" i="1"/>
  <c r="B1381" i="1"/>
  <c r="C1381" i="1"/>
  <c r="A1382" i="1"/>
  <c r="B1382" i="1"/>
  <c r="C1382" i="1"/>
  <c r="D1382" i="1"/>
  <c r="E1382" i="1"/>
  <c r="B1383" i="1"/>
  <c r="A1384" i="1"/>
  <c r="B1384" i="1"/>
  <c r="C1384" i="1"/>
  <c r="D1384" i="1"/>
  <c r="E1384" i="1"/>
  <c r="A1386" i="1"/>
  <c r="B1386" i="1"/>
  <c r="C1386" i="1"/>
  <c r="A1387" i="1"/>
  <c r="B1387" i="1"/>
  <c r="C1387" i="1"/>
  <c r="D1387" i="1"/>
  <c r="E1387" i="1"/>
  <c r="A1390" i="1"/>
  <c r="B1390" i="1"/>
  <c r="C1390" i="1"/>
  <c r="A1391" i="1"/>
  <c r="B1391" i="1"/>
  <c r="C1391" i="1"/>
  <c r="D1391" i="1"/>
  <c r="E1391" i="1"/>
  <c r="A1394" i="1"/>
  <c r="B1394" i="1"/>
  <c r="C1394" i="1"/>
  <c r="A1395" i="1"/>
  <c r="B1395" i="1"/>
  <c r="C1395" i="1"/>
  <c r="D1395" i="1"/>
  <c r="E1395" i="1"/>
  <c r="A1398" i="1"/>
  <c r="B1398" i="1"/>
  <c r="C1398" i="1"/>
  <c r="A1399" i="1"/>
  <c r="B1399" i="1"/>
  <c r="C1399" i="1"/>
  <c r="D1399" i="1"/>
  <c r="E1399" i="1"/>
  <c r="A1402" i="1"/>
  <c r="B1402" i="1"/>
  <c r="C1402" i="1"/>
  <c r="A1403" i="1"/>
  <c r="B1403" i="1"/>
  <c r="C1403" i="1"/>
  <c r="D1403" i="1"/>
  <c r="E1403" i="1"/>
  <c r="A1406" i="1"/>
  <c r="B1406" i="1"/>
  <c r="C1406" i="1"/>
  <c r="A1407" i="1"/>
  <c r="B1407" i="1"/>
  <c r="C1407" i="1"/>
  <c r="D1407" i="1"/>
  <c r="E1407" i="1"/>
  <c r="A1410" i="1"/>
  <c r="B1410" i="1"/>
  <c r="C1410" i="1"/>
  <c r="A1411" i="1"/>
  <c r="B1411" i="1"/>
  <c r="C1411" i="1"/>
  <c r="D1411" i="1"/>
  <c r="E1411" i="1"/>
  <c r="A1414" i="1"/>
  <c r="B1414" i="1"/>
  <c r="C1414" i="1"/>
  <c r="A1415" i="1"/>
  <c r="B1415" i="1"/>
  <c r="C1415" i="1"/>
  <c r="D1415" i="1"/>
  <c r="E1415" i="1"/>
  <c r="A1418" i="1"/>
  <c r="B1418" i="1"/>
  <c r="C1418" i="1"/>
  <c r="A1419" i="1"/>
  <c r="B1419" i="1"/>
  <c r="C1419" i="1"/>
  <c r="D1419" i="1"/>
  <c r="E1419" i="1"/>
  <c r="A1422" i="1"/>
  <c r="B1422" i="1"/>
  <c r="C1422" i="1"/>
  <c r="A1423" i="1"/>
  <c r="B1423" i="1"/>
  <c r="C1423" i="1"/>
  <c r="D1423" i="1"/>
  <c r="E1423" i="1"/>
  <c r="A1426" i="1"/>
  <c r="B1426" i="1"/>
  <c r="C1426" i="1"/>
  <c r="A1427" i="1"/>
  <c r="B1427" i="1"/>
  <c r="C1427" i="1"/>
  <c r="D1427" i="1"/>
  <c r="E1427" i="1"/>
  <c r="A1430" i="1"/>
  <c r="B1430" i="1"/>
  <c r="C1430" i="1"/>
  <c r="A1431" i="1"/>
  <c r="B1431" i="1"/>
  <c r="C1431" i="1"/>
  <c r="D1431" i="1"/>
  <c r="E1431" i="1"/>
  <c r="A1434" i="1"/>
  <c r="B1434" i="1"/>
  <c r="C1434" i="1"/>
  <c r="A1435" i="1"/>
  <c r="B1435" i="1"/>
  <c r="C1435" i="1"/>
  <c r="D1435" i="1"/>
  <c r="E1435" i="1"/>
  <c r="A1438" i="1"/>
  <c r="B1438" i="1"/>
  <c r="C1438" i="1"/>
  <c r="A1439" i="1"/>
  <c r="B1439" i="1"/>
  <c r="C1439" i="1"/>
  <c r="D1439" i="1"/>
  <c r="E1439" i="1"/>
  <c r="A1441" i="1"/>
  <c r="B1441" i="1"/>
  <c r="C1441" i="1"/>
  <c r="A1442" i="1"/>
  <c r="B1442" i="1"/>
  <c r="C1442" i="1"/>
  <c r="D1442" i="1"/>
  <c r="E1442" i="1"/>
  <c r="B1443" i="1"/>
  <c r="A1444" i="1"/>
  <c r="B1444" i="1"/>
  <c r="C1444" i="1"/>
  <c r="D1444" i="1"/>
  <c r="E1444" i="1"/>
  <c r="A1446" i="1"/>
  <c r="B1446" i="1"/>
  <c r="C1446" i="1"/>
  <c r="A1447" i="1"/>
  <c r="B1447" i="1"/>
  <c r="C1447" i="1"/>
  <c r="D1447" i="1"/>
  <c r="E1447" i="1"/>
  <c r="A1450" i="1"/>
  <c r="B1450" i="1"/>
  <c r="C1450" i="1"/>
  <c r="A1451" i="1"/>
  <c r="B1451" i="1"/>
  <c r="C1451" i="1"/>
  <c r="D1451" i="1"/>
  <c r="E1451" i="1"/>
  <c r="A1454" i="1"/>
  <c r="B1454" i="1"/>
  <c r="C1454" i="1"/>
  <c r="A1455" i="1"/>
  <c r="B1455" i="1"/>
  <c r="C1455" i="1"/>
  <c r="D1455" i="1"/>
  <c r="E1455" i="1"/>
  <c r="A1458" i="1"/>
  <c r="B1458" i="1"/>
  <c r="C1458" i="1"/>
  <c r="A1459" i="1"/>
  <c r="B1459" i="1"/>
  <c r="C1459" i="1"/>
  <c r="D1459" i="1"/>
  <c r="E1459" i="1"/>
  <c r="A1462" i="1"/>
  <c r="B1462" i="1"/>
  <c r="C1462" i="1"/>
  <c r="A1463" i="1"/>
  <c r="B1463" i="1"/>
  <c r="C1463" i="1"/>
  <c r="D1463" i="1"/>
  <c r="E1463" i="1"/>
  <c r="A1466" i="1"/>
  <c r="B1466" i="1"/>
  <c r="C1466" i="1"/>
  <c r="A1467" i="1"/>
  <c r="B1467" i="1"/>
  <c r="C1467" i="1"/>
  <c r="D1467" i="1"/>
  <c r="E1467" i="1"/>
  <c r="A1470" i="1"/>
  <c r="B1470" i="1"/>
  <c r="C1470" i="1"/>
  <c r="A1471" i="1"/>
  <c r="B1471" i="1"/>
  <c r="C1471" i="1"/>
  <c r="D1471" i="1"/>
  <c r="E1471" i="1"/>
  <c r="A1474" i="1"/>
  <c r="B1474" i="1"/>
  <c r="C1474" i="1"/>
  <c r="A1475" i="1"/>
  <c r="B1475" i="1"/>
  <c r="C1475" i="1"/>
  <c r="D1475" i="1"/>
  <c r="E1475" i="1"/>
  <c r="A1478" i="1"/>
  <c r="B1478" i="1"/>
  <c r="C1478" i="1"/>
  <c r="A1479" i="1"/>
  <c r="B1479" i="1"/>
  <c r="C1479" i="1"/>
  <c r="D1479" i="1"/>
  <c r="E1479" i="1"/>
  <c r="A1482" i="1"/>
  <c r="B1482" i="1"/>
  <c r="C1482" i="1"/>
  <c r="A1483" i="1"/>
  <c r="B1483" i="1"/>
  <c r="C1483" i="1"/>
  <c r="D1483" i="1"/>
  <c r="E1483" i="1"/>
  <c r="A1486" i="1"/>
  <c r="B1486" i="1"/>
  <c r="C1486" i="1"/>
  <c r="A1487" i="1"/>
  <c r="B1487" i="1"/>
  <c r="C1487" i="1"/>
  <c r="D1487" i="1"/>
  <c r="E1487" i="1"/>
  <c r="A1490" i="1"/>
  <c r="B1490" i="1"/>
  <c r="C1490" i="1"/>
  <c r="A1491" i="1"/>
  <c r="B1491" i="1"/>
  <c r="C1491" i="1"/>
  <c r="D1491" i="1"/>
  <c r="E1491" i="1"/>
  <c r="A1494" i="1"/>
  <c r="B1494" i="1"/>
  <c r="C1494" i="1"/>
  <c r="A1495" i="1"/>
  <c r="B1495" i="1"/>
  <c r="C1495" i="1"/>
  <c r="D1495" i="1"/>
  <c r="E1495" i="1"/>
  <c r="A1498" i="1"/>
  <c r="B1498" i="1"/>
  <c r="C1498" i="1"/>
  <c r="A1499" i="1"/>
  <c r="B1499" i="1"/>
  <c r="C1499" i="1"/>
  <c r="D1499" i="1"/>
  <c r="E1499" i="1"/>
  <c r="A1501" i="1"/>
  <c r="B1501" i="1"/>
  <c r="C1501" i="1"/>
  <c r="A1502" i="1"/>
  <c r="B1502" i="1"/>
  <c r="C1502" i="1"/>
  <c r="D1502" i="1"/>
  <c r="E1502" i="1"/>
  <c r="B1503" i="1"/>
  <c r="A1504" i="1"/>
  <c r="B1504" i="1"/>
  <c r="C1504" i="1"/>
  <c r="D1504" i="1"/>
  <c r="E1504" i="1"/>
  <c r="A1506" i="1"/>
  <c r="B1506" i="1"/>
  <c r="C1506" i="1"/>
  <c r="A1507" i="1"/>
  <c r="B1507" i="1"/>
  <c r="C1507" i="1"/>
  <c r="D1507" i="1"/>
  <c r="E1507" i="1"/>
  <c r="A1510" i="1"/>
  <c r="B1510" i="1"/>
  <c r="C1510" i="1"/>
  <c r="A1511" i="1"/>
  <c r="B1511" i="1"/>
  <c r="C1511" i="1"/>
  <c r="D1511" i="1"/>
  <c r="E1511" i="1"/>
  <c r="A1514" i="1"/>
  <c r="B1514" i="1"/>
  <c r="C1514" i="1"/>
  <c r="A1515" i="1"/>
  <c r="B1515" i="1"/>
  <c r="C1515" i="1"/>
  <c r="D1515" i="1"/>
  <c r="E1515" i="1"/>
  <c r="A1518" i="1"/>
  <c r="B1518" i="1"/>
  <c r="C1518" i="1"/>
  <c r="A1519" i="1"/>
  <c r="B1519" i="1"/>
  <c r="C1519" i="1"/>
  <c r="D1519" i="1"/>
  <c r="E1519" i="1"/>
  <c r="A1522" i="1"/>
  <c r="B1522" i="1"/>
  <c r="C1522" i="1"/>
  <c r="A1523" i="1"/>
  <c r="B1523" i="1"/>
  <c r="C1523" i="1"/>
  <c r="D1523" i="1"/>
  <c r="E1523" i="1"/>
  <c r="A1526" i="1"/>
  <c r="B1526" i="1"/>
  <c r="C1526" i="1"/>
  <c r="A1527" i="1"/>
  <c r="B1527" i="1"/>
  <c r="C1527" i="1"/>
  <c r="D1527" i="1"/>
  <c r="E1527" i="1"/>
  <c r="A1530" i="1"/>
  <c r="B1530" i="1"/>
  <c r="C1530" i="1"/>
  <c r="A1531" i="1"/>
  <c r="B1531" i="1"/>
  <c r="C1531" i="1"/>
  <c r="D1531" i="1"/>
  <c r="E1531" i="1"/>
  <c r="A1534" i="1"/>
  <c r="B1534" i="1"/>
  <c r="C1534" i="1"/>
  <c r="A1535" i="1"/>
  <c r="B1535" i="1"/>
  <c r="C1535" i="1"/>
  <c r="D1535" i="1"/>
  <c r="E1535" i="1"/>
  <c r="A1538" i="1"/>
  <c r="B1538" i="1"/>
  <c r="C1538" i="1"/>
  <c r="A1539" i="1"/>
  <c r="B1539" i="1"/>
  <c r="C1539" i="1"/>
  <c r="D1539" i="1"/>
  <c r="E1539" i="1"/>
  <c r="A1542" i="1"/>
  <c r="B1542" i="1"/>
  <c r="C1542" i="1"/>
  <c r="A1543" i="1"/>
  <c r="B1543" i="1"/>
  <c r="C1543" i="1"/>
  <c r="D1543" i="1"/>
  <c r="E1543" i="1"/>
  <c r="A1546" i="1"/>
  <c r="B1546" i="1"/>
  <c r="C1546" i="1"/>
  <c r="A1547" i="1"/>
  <c r="B1547" i="1"/>
  <c r="C1547" i="1"/>
  <c r="D1547" i="1"/>
  <c r="E1547" i="1"/>
  <c r="A1550" i="1"/>
  <c r="B1550" i="1"/>
  <c r="C1550" i="1"/>
  <c r="A1551" i="1"/>
  <c r="B1551" i="1"/>
  <c r="C1551" i="1"/>
  <c r="D1551" i="1"/>
  <c r="E1551" i="1"/>
  <c r="A1554" i="1"/>
  <c r="B1554" i="1"/>
  <c r="C1554" i="1"/>
  <c r="A1555" i="1"/>
  <c r="B1555" i="1"/>
  <c r="C1555" i="1"/>
  <c r="D1555" i="1"/>
  <c r="E1555" i="1"/>
  <c r="A1558" i="1"/>
  <c r="B1558" i="1"/>
  <c r="C1558" i="1"/>
  <c r="A1559" i="1"/>
  <c r="B1559" i="1"/>
  <c r="C1559" i="1"/>
  <c r="D1559" i="1"/>
  <c r="E1559" i="1"/>
  <c r="A1561" i="1"/>
  <c r="B1561" i="1"/>
  <c r="C1561" i="1"/>
  <c r="A1562" i="1"/>
  <c r="B1562" i="1"/>
  <c r="C1562" i="1"/>
  <c r="D1562" i="1"/>
  <c r="E1562" i="1"/>
  <c r="B1563" i="1"/>
  <c r="A1564" i="1"/>
  <c r="B1564" i="1"/>
  <c r="C1564" i="1"/>
  <c r="D1564" i="1"/>
  <c r="E1564" i="1"/>
  <c r="A1566" i="1"/>
  <c r="B1566" i="1"/>
  <c r="C1566" i="1"/>
  <c r="A1567" i="1"/>
  <c r="B1567" i="1"/>
  <c r="C1567" i="1"/>
  <c r="D1567" i="1"/>
  <c r="E1567" i="1"/>
  <c r="A1570" i="1"/>
  <c r="B1570" i="1"/>
  <c r="C1570" i="1"/>
  <c r="A1571" i="1"/>
  <c r="B1571" i="1"/>
  <c r="C1571" i="1"/>
  <c r="D1571" i="1"/>
  <c r="E1571" i="1"/>
  <c r="A1574" i="1"/>
  <c r="B1574" i="1"/>
  <c r="C1574" i="1"/>
  <c r="A1575" i="1"/>
  <c r="B1575" i="1"/>
  <c r="C1575" i="1"/>
  <c r="D1575" i="1"/>
  <c r="E1575" i="1"/>
  <c r="A1578" i="1"/>
  <c r="B1578" i="1"/>
  <c r="C1578" i="1"/>
  <c r="A1579" i="1"/>
  <c r="B1579" i="1"/>
  <c r="C1579" i="1"/>
  <c r="D1579" i="1"/>
  <c r="E1579" i="1"/>
  <c r="A1582" i="1"/>
  <c r="B1582" i="1"/>
  <c r="C1582" i="1"/>
  <c r="A1583" i="1"/>
  <c r="B1583" i="1"/>
  <c r="C1583" i="1"/>
  <c r="D1583" i="1"/>
  <c r="E1583" i="1"/>
  <c r="A1586" i="1"/>
  <c r="B1586" i="1"/>
  <c r="C1586" i="1"/>
  <c r="A1587" i="1"/>
  <c r="B1587" i="1"/>
  <c r="C1587" i="1"/>
  <c r="D1587" i="1"/>
  <c r="E1587" i="1"/>
  <c r="A1590" i="1"/>
  <c r="B1590" i="1"/>
  <c r="C1590" i="1"/>
  <c r="A1591" i="1"/>
  <c r="B1591" i="1"/>
  <c r="C1591" i="1"/>
  <c r="D1591" i="1"/>
  <c r="E1591" i="1"/>
  <c r="A1594" i="1"/>
  <c r="B1594" i="1"/>
  <c r="C1594" i="1"/>
  <c r="A1595" i="1"/>
  <c r="B1595" i="1"/>
  <c r="C1595" i="1"/>
  <c r="D1595" i="1"/>
  <c r="E1595" i="1"/>
  <c r="A1598" i="1"/>
  <c r="B1598" i="1"/>
  <c r="C1598" i="1"/>
  <c r="A1599" i="1"/>
  <c r="B1599" i="1"/>
  <c r="C1599" i="1"/>
  <c r="D1599" i="1"/>
  <c r="E1599" i="1"/>
  <c r="A1602" i="1"/>
  <c r="B1602" i="1"/>
  <c r="C1602" i="1"/>
  <c r="A1603" i="1"/>
  <c r="B1603" i="1"/>
  <c r="C1603" i="1"/>
  <c r="D1603" i="1"/>
  <c r="E1603" i="1"/>
  <c r="A1606" i="1"/>
  <c r="B1606" i="1"/>
  <c r="C1606" i="1"/>
  <c r="A1607" i="1"/>
  <c r="B1607" i="1"/>
  <c r="C1607" i="1"/>
  <c r="D1607" i="1"/>
  <c r="E1607" i="1"/>
  <c r="A1610" i="1"/>
  <c r="B1610" i="1"/>
  <c r="C1610" i="1"/>
  <c r="A1611" i="1"/>
  <c r="B1611" i="1"/>
  <c r="C1611" i="1"/>
  <c r="D1611" i="1"/>
  <c r="E1611" i="1"/>
  <c r="A1614" i="1"/>
  <c r="B1614" i="1"/>
  <c r="C1614" i="1"/>
  <c r="A1615" i="1"/>
  <c r="B1615" i="1"/>
  <c r="C1615" i="1"/>
  <c r="D1615" i="1"/>
  <c r="E1615" i="1"/>
  <c r="A1618" i="1"/>
  <c r="B1618" i="1"/>
  <c r="C1618" i="1"/>
  <c r="A1619" i="1"/>
  <c r="B1619" i="1"/>
  <c r="C1619" i="1"/>
  <c r="D1619" i="1"/>
  <c r="E1619" i="1"/>
  <c r="A1621" i="1"/>
  <c r="B1621" i="1"/>
  <c r="C1621" i="1"/>
  <c r="A1622" i="1"/>
  <c r="B1622" i="1"/>
  <c r="C1622" i="1"/>
  <c r="D1622" i="1"/>
  <c r="E1622" i="1"/>
  <c r="B1623" i="1"/>
  <c r="A1624" i="1"/>
  <c r="B1624" i="1"/>
  <c r="C1624" i="1"/>
  <c r="D1624" i="1"/>
  <c r="E1624" i="1"/>
  <c r="A1626" i="1"/>
  <c r="B1626" i="1"/>
  <c r="C1626" i="1"/>
  <c r="A1627" i="1"/>
  <c r="B1627" i="1"/>
  <c r="C1627" i="1"/>
  <c r="D1627" i="1"/>
  <c r="E1627" i="1"/>
  <c r="A1630" i="1"/>
  <c r="B1630" i="1"/>
  <c r="C1630" i="1"/>
  <c r="A1631" i="1"/>
  <c r="B1631" i="1"/>
  <c r="C1631" i="1"/>
  <c r="D1631" i="1"/>
  <c r="E1631" i="1"/>
  <c r="A1634" i="1"/>
  <c r="B1634" i="1"/>
  <c r="C1634" i="1"/>
  <c r="A1635" i="1"/>
  <c r="B1635" i="1"/>
  <c r="C1635" i="1"/>
  <c r="D1635" i="1"/>
  <c r="E1635" i="1"/>
  <c r="A1638" i="1"/>
  <c r="B1638" i="1"/>
  <c r="C1638" i="1"/>
  <c r="A1639" i="1"/>
  <c r="B1639" i="1"/>
  <c r="C1639" i="1"/>
  <c r="D1639" i="1"/>
  <c r="E1639" i="1"/>
  <c r="A1642" i="1"/>
  <c r="B1642" i="1"/>
  <c r="C1642" i="1"/>
  <c r="A1643" i="1"/>
  <c r="B1643" i="1"/>
  <c r="C1643" i="1"/>
  <c r="D1643" i="1"/>
  <c r="E1643" i="1"/>
  <c r="A1646" i="1"/>
  <c r="B1646" i="1"/>
  <c r="C1646" i="1"/>
  <c r="A1647" i="1"/>
  <c r="B1647" i="1"/>
  <c r="C1647" i="1"/>
  <c r="D1647" i="1"/>
  <c r="E1647" i="1"/>
  <c r="A1650" i="1"/>
  <c r="B1650" i="1"/>
  <c r="C1650" i="1"/>
  <c r="A1651" i="1"/>
  <c r="B1651" i="1"/>
  <c r="C1651" i="1"/>
  <c r="D1651" i="1"/>
  <c r="E1651" i="1"/>
  <c r="A1654" i="1"/>
  <c r="B1654" i="1"/>
  <c r="C1654" i="1"/>
  <c r="A1655" i="1"/>
  <c r="B1655" i="1"/>
  <c r="C1655" i="1"/>
  <c r="D1655" i="1"/>
  <c r="E1655" i="1"/>
  <c r="A1658" i="1"/>
  <c r="B1658" i="1"/>
  <c r="C1658" i="1"/>
  <c r="A1659" i="1"/>
  <c r="B1659" i="1"/>
  <c r="C1659" i="1"/>
  <c r="D1659" i="1"/>
  <c r="E1659" i="1"/>
  <c r="A1662" i="1"/>
  <c r="B1662" i="1"/>
  <c r="C1662" i="1"/>
  <c r="A1663" i="1"/>
  <c r="B1663" i="1"/>
  <c r="C1663" i="1"/>
  <c r="D1663" i="1"/>
  <c r="E1663" i="1"/>
  <c r="A1666" i="1"/>
  <c r="B1666" i="1"/>
  <c r="C1666" i="1"/>
  <c r="A1667" i="1"/>
  <c r="B1667" i="1"/>
  <c r="C1667" i="1"/>
  <c r="D1667" i="1"/>
  <c r="E1667" i="1"/>
  <c r="A1670" i="1"/>
  <c r="B1670" i="1"/>
  <c r="C1670" i="1"/>
  <c r="A1671" i="1"/>
  <c r="B1671" i="1"/>
  <c r="C1671" i="1"/>
  <c r="D1671" i="1"/>
  <c r="E1671" i="1"/>
  <c r="A1674" i="1"/>
  <c r="B1674" i="1"/>
  <c r="C1674" i="1"/>
  <c r="A1675" i="1"/>
  <c r="B1675" i="1"/>
  <c r="C1675" i="1"/>
  <c r="D1675" i="1"/>
  <c r="E1675" i="1"/>
  <c r="A1678" i="1"/>
  <c r="B1678" i="1"/>
  <c r="C1678" i="1"/>
  <c r="A1679" i="1"/>
  <c r="B1679" i="1"/>
  <c r="C1679" i="1"/>
  <c r="D1679" i="1"/>
  <c r="E1679" i="1"/>
  <c r="A1681" i="1"/>
  <c r="B1681" i="1"/>
  <c r="C1681" i="1"/>
  <c r="A1682" i="1"/>
  <c r="B1682" i="1"/>
  <c r="C1682" i="1"/>
  <c r="D1682" i="1"/>
  <c r="E1682" i="1"/>
  <c r="B1683" i="1"/>
  <c r="A1684" i="1"/>
  <c r="B1684" i="1"/>
  <c r="C1684" i="1"/>
  <c r="D1684" i="1"/>
  <c r="E1684" i="1"/>
  <c r="A1686" i="1"/>
  <c r="B1686" i="1"/>
  <c r="C1686" i="1"/>
  <c r="A1687" i="1"/>
  <c r="B1687" i="1"/>
  <c r="C1687" i="1"/>
  <c r="D1687" i="1"/>
  <c r="E1687" i="1"/>
  <c r="A1690" i="1"/>
  <c r="B1690" i="1"/>
  <c r="C1690" i="1"/>
  <c r="A1691" i="1"/>
  <c r="B1691" i="1"/>
  <c r="C1691" i="1"/>
  <c r="D1691" i="1"/>
  <c r="E1691" i="1"/>
  <c r="A1694" i="1"/>
  <c r="B1694" i="1"/>
  <c r="C1694" i="1"/>
  <c r="A1695" i="1"/>
  <c r="B1695" i="1"/>
  <c r="C1695" i="1"/>
  <c r="D1695" i="1"/>
  <c r="E1695" i="1"/>
  <c r="A1698" i="1"/>
  <c r="B1698" i="1"/>
  <c r="C1698" i="1"/>
  <c r="A1699" i="1"/>
  <c r="B1699" i="1"/>
  <c r="C1699" i="1"/>
  <c r="D1699" i="1"/>
  <c r="E1699" i="1"/>
  <c r="A1702" i="1"/>
  <c r="B1702" i="1"/>
  <c r="C1702" i="1"/>
  <c r="A1703" i="1"/>
  <c r="B1703" i="1"/>
  <c r="C1703" i="1"/>
  <c r="D1703" i="1"/>
  <c r="E1703" i="1"/>
  <c r="A1706" i="1"/>
  <c r="B1706" i="1"/>
  <c r="C1706" i="1"/>
  <c r="A1707" i="1"/>
  <c r="B1707" i="1"/>
  <c r="C1707" i="1"/>
  <c r="D1707" i="1"/>
  <c r="E1707" i="1"/>
  <c r="A1710" i="1"/>
  <c r="B1710" i="1"/>
  <c r="C1710" i="1"/>
  <c r="A1711" i="1"/>
  <c r="B1711" i="1"/>
  <c r="C1711" i="1"/>
  <c r="D1711" i="1"/>
  <c r="E1711" i="1"/>
  <c r="A1714" i="1"/>
  <c r="B1714" i="1"/>
  <c r="C1714" i="1"/>
  <c r="A1715" i="1"/>
  <c r="B1715" i="1"/>
  <c r="C1715" i="1"/>
  <c r="D1715" i="1"/>
  <c r="E1715" i="1"/>
  <c r="A1718" i="1"/>
  <c r="B1718" i="1"/>
  <c r="C1718" i="1"/>
  <c r="A1719" i="1"/>
  <c r="B1719" i="1"/>
  <c r="C1719" i="1"/>
  <c r="D1719" i="1"/>
  <c r="E1719" i="1"/>
  <c r="A1722" i="1"/>
  <c r="B1722" i="1"/>
  <c r="C1722" i="1"/>
  <c r="A1723" i="1"/>
  <c r="B1723" i="1"/>
  <c r="C1723" i="1"/>
  <c r="D1723" i="1"/>
  <c r="E1723" i="1"/>
  <c r="A1726" i="1"/>
  <c r="B1726" i="1"/>
  <c r="C1726" i="1"/>
  <c r="A1727" i="1"/>
  <c r="B1727" i="1"/>
  <c r="C1727" i="1"/>
  <c r="D1727" i="1"/>
  <c r="E1727" i="1"/>
  <c r="A1730" i="1"/>
  <c r="B1730" i="1"/>
  <c r="C1730" i="1"/>
  <c r="A1731" i="1"/>
  <c r="B1731" i="1"/>
  <c r="C1731" i="1"/>
  <c r="D1731" i="1"/>
  <c r="E1731" i="1"/>
  <c r="A1734" i="1"/>
  <c r="B1734" i="1"/>
  <c r="C1734" i="1"/>
  <c r="A1735" i="1"/>
  <c r="B1735" i="1"/>
  <c r="C1735" i="1"/>
  <c r="D1735" i="1"/>
  <c r="E1735" i="1"/>
  <c r="A1738" i="1"/>
  <c r="B1738" i="1"/>
  <c r="C1738" i="1"/>
  <c r="A1739" i="1"/>
  <c r="B1739" i="1"/>
  <c r="C1739" i="1"/>
  <c r="D1739" i="1"/>
  <c r="E1739" i="1"/>
  <c r="A1741" i="1"/>
  <c r="B1741" i="1"/>
  <c r="C1741" i="1"/>
  <c r="A1742" i="1"/>
  <c r="B1742" i="1"/>
  <c r="C1742" i="1"/>
  <c r="D1742" i="1"/>
  <c r="E1742" i="1"/>
  <c r="B1743" i="1"/>
  <c r="A1744" i="1"/>
  <c r="B1744" i="1"/>
  <c r="C1744" i="1"/>
  <c r="D1744" i="1"/>
  <c r="E1744" i="1"/>
  <c r="A1746" i="1"/>
  <c r="B1746" i="1"/>
  <c r="C1746" i="1"/>
  <c r="A1747" i="1"/>
  <c r="B1747" i="1"/>
  <c r="C1747" i="1"/>
  <c r="D1747" i="1"/>
  <c r="E1747" i="1"/>
  <c r="A1750" i="1"/>
  <c r="B1750" i="1"/>
  <c r="C1750" i="1"/>
  <c r="A1751" i="1"/>
  <c r="B1751" i="1"/>
  <c r="C1751" i="1"/>
  <c r="D1751" i="1"/>
  <c r="E1751" i="1"/>
  <c r="A1754" i="1"/>
  <c r="B1754" i="1"/>
  <c r="C1754" i="1"/>
  <c r="A1755" i="1"/>
  <c r="B1755" i="1"/>
  <c r="C1755" i="1"/>
  <c r="D1755" i="1"/>
  <c r="E1755" i="1"/>
  <c r="A1758" i="1"/>
  <c r="B1758" i="1"/>
  <c r="C1758" i="1"/>
  <c r="A1759" i="1"/>
  <c r="B1759" i="1"/>
  <c r="C1759" i="1"/>
  <c r="D1759" i="1"/>
  <c r="E1759" i="1"/>
  <c r="A1762" i="1"/>
  <c r="B1762" i="1"/>
  <c r="C1762" i="1"/>
  <c r="A1763" i="1"/>
  <c r="B1763" i="1"/>
  <c r="C1763" i="1"/>
  <c r="D1763" i="1"/>
  <c r="E1763" i="1"/>
  <c r="A1766" i="1"/>
  <c r="B1766" i="1"/>
  <c r="C1766" i="1"/>
  <c r="A1767" i="1"/>
  <c r="B1767" i="1"/>
  <c r="C1767" i="1"/>
  <c r="D1767" i="1"/>
  <c r="E1767" i="1"/>
  <c r="A1770" i="1"/>
  <c r="B1770" i="1"/>
  <c r="C1770" i="1"/>
  <c r="A1771" i="1"/>
  <c r="B1771" i="1"/>
  <c r="C1771" i="1"/>
  <c r="D1771" i="1"/>
  <c r="E1771" i="1"/>
  <c r="A1774" i="1"/>
  <c r="B1774" i="1"/>
  <c r="C1774" i="1"/>
  <c r="A1775" i="1"/>
  <c r="B1775" i="1"/>
  <c r="C1775" i="1"/>
  <c r="D1775" i="1"/>
  <c r="E1775" i="1"/>
  <c r="A1778" i="1"/>
  <c r="B1778" i="1"/>
  <c r="C1778" i="1"/>
  <c r="A1779" i="1"/>
  <c r="B1779" i="1"/>
  <c r="C1779" i="1"/>
  <c r="D1779" i="1"/>
  <c r="E1779" i="1"/>
  <c r="A1782" i="1"/>
  <c r="B1782" i="1"/>
  <c r="C1782" i="1"/>
  <c r="A1783" i="1"/>
  <c r="B1783" i="1"/>
  <c r="C1783" i="1"/>
  <c r="D1783" i="1"/>
  <c r="E1783" i="1"/>
  <c r="A1786" i="1"/>
  <c r="B1786" i="1"/>
  <c r="C1786" i="1"/>
  <c r="A1787" i="1"/>
  <c r="B1787" i="1"/>
  <c r="C1787" i="1"/>
  <c r="D1787" i="1"/>
  <c r="E1787" i="1"/>
  <c r="A1790" i="1"/>
  <c r="B1790" i="1"/>
  <c r="C1790" i="1"/>
  <c r="A1791" i="1"/>
  <c r="B1791" i="1"/>
  <c r="C1791" i="1"/>
  <c r="D1791" i="1"/>
  <c r="E1791" i="1"/>
  <c r="A1794" i="1"/>
  <c r="B1794" i="1"/>
  <c r="C1794" i="1"/>
  <c r="A1795" i="1"/>
  <c r="B1795" i="1"/>
  <c r="C1795" i="1"/>
  <c r="D1795" i="1"/>
  <c r="E1795" i="1"/>
  <c r="A1798" i="1"/>
  <c r="B1798" i="1"/>
  <c r="C1798" i="1"/>
  <c r="A1799" i="1"/>
  <c r="B1799" i="1"/>
  <c r="C1799" i="1"/>
  <c r="D1799" i="1"/>
  <c r="E1799" i="1"/>
  <c r="A1801" i="1"/>
  <c r="B1801" i="1"/>
  <c r="C1801" i="1"/>
  <c r="A1802" i="1"/>
  <c r="B1802" i="1"/>
  <c r="C1802" i="1"/>
  <c r="D1802" i="1"/>
  <c r="E1802" i="1"/>
  <c r="B1803" i="1"/>
  <c r="A1804" i="1"/>
  <c r="B1804" i="1"/>
  <c r="C1804" i="1"/>
  <c r="D1804" i="1"/>
  <c r="E1804" i="1"/>
  <c r="A1806" i="1"/>
  <c r="B1806" i="1"/>
  <c r="C1806" i="1"/>
  <c r="A1807" i="1"/>
  <c r="B1807" i="1"/>
  <c r="C1807" i="1"/>
  <c r="D1807" i="1"/>
  <c r="E1807" i="1"/>
  <c r="A1810" i="1"/>
  <c r="B1810" i="1"/>
  <c r="C1810" i="1"/>
  <c r="A1811" i="1"/>
  <c r="B1811" i="1"/>
  <c r="C1811" i="1"/>
  <c r="D1811" i="1"/>
  <c r="E1811" i="1"/>
  <c r="A1814" i="1"/>
  <c r="B1814" i="1"/>
  <c r="C1814" i="1"/>
  <c r="A1815" i="1"/>
  <c r="B1815" i="1"/>
  <c r="C1815" i="1"/>
  <c r="D1815" i="1"/>
  <c r="E1815" i="1"/>
  <c r="A1818" i="1"/>
  <c r="B1818" i="1"/>
  <c r="C1818" i="1"/>
  <c r="A1819" i="1"/>
  <c r="B1819" i="1"/>
  <c r="C1819" i="1"/>
  <c r="D1819" i="1"/>
  <c r="E1819" i="1"/>
  <c r="A1822" i="1"/>
  <c r="B1822" i="1"/>
  <c r="C1822" i="1"/>
  <c r="A1823" i="1"/>
  <c r="B1823" i="1"/>
  <c r="C1823" i="1"/>
  <c r="D1823" i="1"/>
  <c r="E1823" i="1"/>
  <c r="A1826" i="1"/>
  <c r="B1826" i="1"/>
  <c r="C1826" i="1"/>
  <c r="A1827" i="1"/>
  <c r="B1827" i="1"/>
  <c r="C1827" i="1"/>
  <c r="D1827" i="1"/>
  <c r="E1827" i="1"/>
  <c r="A1830" i="1"/>
  <c r="B1830" i="1"/>
  <c r="C1830" i="1"/>
  <c r="A1831" i="1"/>
  <c r="B1831" i="1"/>
  <c r="C1831" i="1"/>
  <c r="D1831" i="1"/>
  <c r="E1831" i="1"/>
  <c r="A1834" i="1"/>
  <c r="B1834" i="1"/>
  <c r="C1834" i="1"/>
  <c r="A1835" i="1"/>
  <c r="B1835" i="1"/>
  <c r="C1835" i="1"/>
  <c r="D1835" i="1"/>
  <c r="E1835" i="1"/>
  <c r="A1838" i="1"/>
  <c r="B1838" i="1"/>
  <c r="C1838" i="1"/>
  <c r="A1839" i="1"/>
  <c r="B1839" i="1"/>
  <c r="C1839" i="1"/>
  <c r="D1839" i="1"/>
  <c r="E1839" i="1"/>
  <c r="A1842" i="1"/>
  <c r="B1842" i="1"/>
  <c r="C1842" i="1"/>
  <c r="A1843" i="1"/>
  <c r="B1843" i="1"/>
  <c r="C1843" i="1"/>
  <c r="D1843" i="1"/>
  <c r="E1843" i="1"/>
  <c r="A1846" i="1"/>
  <c r="B1846" i="1"/>
  <c r="C1846" i="1"/>
  <c r="A1847" i="1"/>
  <c r="B1847" i="1"/>
  <c r="C1847" i="1"/>
  <c r="D1847" i="1"/>
  <c r="E1847" i="1"/>
  <c r="A1850" i="1"/>
  <c r="B1850" i="1"/>
  <c r="C1850" i="1"/>
  <c r="A1851" i="1"/>
  <c r="B1851" i="1"/>
  <c r="C1851" i="1"/>
  <c r="D1851" i="1"/>
  <c r="E1851" i="1"/>
  <c r="A1854" i="1"/>
  <c r="B1854" i="1"/>
  <c r="C1854" i="1"/>
  <c r="A1855" i="1"/>
  <c r="B1855" i="1"/>
  <c r="C1855" i="1"/>
  <c r="D1855" i="1"/>
  <c r="E1855" i="1"/>
  <c r="A1858" i="1"/>
  <c r="B1858" i="1"/>
  <c r="C1858" i="1"/>
  <c r="A1859" i="1"/>
  <c r="B1859" i="1"/>
  <c r="C1859" i="1"/>
  <c r="D1859" i="1"/>
  <c r="E1859" i="1"/>
  <c r="A1861" i="1"/>
  <c r="B1861" i="1"/>
  <c r="C1861" i="1"/>
  <c r="A1862" i="1"/>
  <c r="B1862" i="1"/>
  <c r="C1862" i="1"/>
  <c r="D1862" i="1"/>
  <c r="E1862" i="1"/>
  <c r="B1863" i="1"/>
  <c r="A1864" i="1"/>
  <c r="B1864" i="1"/>
  <c r="C1864" i="1"/>
  <c r="D1864" i="1"/>
  <c r="E1864" i="1"/>
  <c r="A1866" i="1"/>
  <c r="B1866" i="1"/>
  <c r="C1866" i="1"/>
  <c r="A1867" i="1"/>
  <c r="B1867" i="1"/>
  <c r="C1867" i="1"/>
  <c r="D1867" i="1"/>
  <c r="E1867" i="1"/>
  <c r="A1870" i="1"/>
  <c r="B1870" i="1"/>
  <c r="C1870" i="1"/>
  <c r="A1871" i="1"/>
  <c r="B1871" i="1"/>
  <c r="C1871" i="1"/>
  <c r="D1871" i="1"/>
  <c r="E1871" i="1"/>
  <c r="A1874" i="1"/>
  <c r="B1874" i="1"/>
  <c r="C1874" i="1"/>
  <c r="A1875" i="1"/>
  <c r="B1875" i="1"/>
  <c r="C1875" i="1"/>
  <c r="D1875" i="1"/>
  <c r="E1875" i="1"/>
  <c r="A1878" i="1"/>
  <c r="B1878" i="1"/>
  <c r="C1878" i="1"/>
  <c r="A1879" i="1"/>
  <c r="B1879" i="1"/>
  <c r="C1879" i="1"/>
  <c r="D1879" i="1"/>
  <c r="E1879" i="1"/>
  <c r="A1882" i="1"/>
  <c r="B1882" i="1"/>
  <c r="C1882" i="1"/>
  <c r="A1883" i="1"/>
  <c r="B1883" i="1"/>
  <c r="C1883" i="1"/>
  <c r="D1883" i="1"/>
  <c r="E1883" i="1"/>
  <c r="A1886" i="1"/>
  <c r="B1886" i="1"/>
  <c r="C1886" i="1"/>
  <c r="A1887" i="1"/>
  <c r="B1887" i="1"/>
  <c r="C1887" i="1"/>
  <c r="D1887" i="1"/>
  <c r="E1887" i="1"/>
  <c r="A1890" i="1"/>
  <c r="B1890" i="1"/>
  <c r="C1890" i="1"/>
  <c r="A1891" i="1"/>
  <c r="B1891" i="1"/>
  <c r="C1891" i="1"/>
  <c r="D1891" i="1"/>
  <c r="E1891" i="1"/>
  <c r="A1894" i="1"/>
  <c r="B1894" i="1"/>
  <c r="C1894" i="1"/>
  <c r="A1895" i="1"/>
  <c r="B1895" i="1"/>
  <c r="C1895" i="1"/>
  <c r="D1895" i="1"/>
  <c r="E1895" i="1"/>
  <c r="A1898" i="1"/>
  <c r="B1898" i="1"/>
  <c r="C1898" i="1"/>
  <c r="A1899" i="1"/>
  <c r="B1899" i="1"/>
  <c r="C1899" i="1"/>
  <c r="D1899" i="1"/>
  <c r="E1899" i="1"/>
  <c r="A1902" i="1"/>
  <c r="B1902" i="1"/>
  <c r="C1902" i="1"/>
  <c r="A1903" i="1"/>
  <c r="B1903" i="1"/>
  <c r="C1903" i="1"/>
  <c r="D1903" i="1"/>
  <c r="E1903" i="1"/>
  <c r="A1906" i="1"/>
  <c r="B1906" i="1"/>
  <c r="C1906" i="1"/>
  <c r="A1907" i="1"/>
  <c r="B1907" i="1"/>
  <c r="C1907" i="1"/>
  <c r="D1907" i="1"/>
  <c r="E1907" i="1"/>
  <c r="A1910" i="1"/>
  <c r="B1910" i="1"/>
  <c r="C1910" i="1"/>
  <c r="A1911" i="1"/>
  <c r="B1911" i="1"/>
  <c r="C1911" i="1"/>
  <c r="D1911" i="1"/>
  <c r="E1911" i="1"/>
  <c r="A1914" i="1"/>
  <c r="B1914" i="1"/>
  <c r="C1914" i="1"/>
  <c r="A1915" i="1"/>
  <c r="B1915" i="1"/>
  <c r="C1915" i="1"/>
  <c r="D1915" i="1"/>
  <c r="E1915" i="1"/>
  <c r="A1918" i="1"/>
  <c r="B1918" i="1"/>
  <c r="C1918" i="1"/>
  <c r="A1919" i="1"/>
  <c r="B1919" i="1"/>
  <c r="C1919" i="1"/>
  <c r="D1919" i="1"/>
  <c r="E1919" i="1"/>
  <c r="A1921" i="1"/>
  <c r="B1921" i="1"/>
  <c r="C1921" i="1"/>
  <c r="A1922" i="1"/>
  <c r="B1922" i="1"/>
  <c r="C1922" i="1"/>
  <c r="D1922" i="1"/>
  <c r="E1922" i="1"/>
  <c r="B1923" i="1"/>
  <c r="A1924" i="1"/>
  <c r="B1924" i="1"/>
  <c r="C1924" i="1"/>
  <c r="D1924" i="1"/>
  <c r="E1924" i="1"/>
  <c r="A1926" i="1"/>
  <c r="B1926" i="1"/>
  <c r="C1926" i="1"/>
  <c r="A1927" i="1"/>
  <c r="B1927" i="1"/>
  <c r="C1927" i="1"/>
  <c r="D1927" i="1"/>
  <c r="E1927" i="1"/>
  <c r="A1930" i="1"/>
  <c r="B1930" i="1"/>
  <c r="C1930" i="1"/>
  <c r="A1931" i="1"/>
  <c r="B1931" i="1"/>
  <c r="C1931" i="1"/>
  <c r="D1931" i="1"/>
  <c r="E1931" i="1"/>
  <c r="A1934" i="1"/>
  <c r="B1934" i="1"/>
  <c r="C1934" i="1"/>
  <c r="A1935" i="1"/>
  <c r="B1935" i="1"/>
  <c r="C1935" i="1"/>
  <c r="D1935" i="1"/>
  <c r="E1935" i="1"/>
  <c r="A1938" i="1"/>
  <c r="B1938" i="1"/>
  <c r="C1938" i="1"/>
  <c r="A1939" i="1"/>
  <c r="B1939" i="1"/>
  <c r="C1939" i="1"/>
  <c r="D1939" i="1"/>
  <c r="E1939" i="1"/>
  <c r="A1942" i="1"/>
  <c r="B1942" i="1"/>
  <c r="C1942" i="1"/>
  <c r="A1943" i="1"/>
  <c r="B1943" i="1"/>
  <c r="C1943" i="1"/>
  <c r="D1943" i="1"/>
  <c r="E1943" i="1"/>
  <c r="A1946" i="1"/>
  <c r="B1946" i="1"/>
  <c r="C1946" i="1"/>
  <c r="A1947" i="1"/>
  <c r="B1947" i="1"/>
  <c r="C1947" i="1"/>
  <c r="D1947" i="1"/>
  <c r="E1947" i="1"/>
  <c r="A1950" i="1"/>
  <c r="B1950" i="1"/>
  <c r="C1950" i="1"/>
  <c r="A1951" i="1"/>
  <c r="B1951" i="1"/>
  <c r="C1951" i="1"/>
  <c r="D1951" i="1"/>
  <c r="E1951" i="1"/>
  <c r="A1954" i="1"/>
  <c r="B1954" i="1"/>
  <c r="C1954" i="1"/>
  <c r="A1955" i="1"/>
  <c r="B1955" i="1"/>
  <c r="C1955" i="1"/>
  <c r="D1955" i="1"/>
  <c r="E1955" i="1"/>
  <c r="A1958" i="1"/>
  <c r="B1958" i="1"/>
  <c r="C1958" i="1"/>
  <c r="A1959" i="1"/>
  <c r="B1959" i="1"/>
  <c r="C1959" i="1"/>
  <c r="D1959" i="1"/>
  <c r="E1959" i="1"/>
  <c r="A1962" i="1"/>
  <c r="B1962" i="1"/>
  <c r="C1962" i="1"/>
  <c r="A1963" i="1"/>
  <c r="B1963" i="1"/>
  <c r="C1963" i="1"/>
  <c r="D1963" i="1"/>
  <c r="E1963" i="1"/>
  <c r="A1966" i="1"/>
  <c r="B1966" i="1"/>
  <c r="C1966" i="1"/>
  <c r="A1967" i="1"/>
  <c r="B1967" i="1"/>
  <c r="C1967" i="1"/>
  <c r="D1967" i="1"/>
  <c r="E1967" i="1"/>
  <c r="A1970" i="1"/>
  <c r="B1970" i="1"/>
  <c r="C1970" i="1"/>
  <c r="A1971" i="1"/>
  <c r="B1971" i="1"/>
  <c r="C1971" i="1"/>
  <c r="D1971" i="1"/>
  <c r="E1971" i="1"/>
  <c r="A1974" i="1"/>
  <c r="B1974" i="1"/>
  <c r="C1974" i="1"/>
  <c r="A1975" i="1"/>
  <c r="B1975" i="1"/>
  <c r="C1975" i="1"/>
  <c r="D1975" i="1"/>
  <c r="E1975" i="1"/>
  <c r="A1978" i="1"/>
  <c r="B1978" i="1"/>
  <c r="C1978" i="1"/>
  <c r="A1979" i="1"/>
  <c r="B1979" i="1"/>
  <c r="C1979" i="1"/>
  <c r="D1979" i="1"/>
  <c r="E1979" i="1"/>
  <c r="A1981" i="1"/>
  <c r="B1981" i="1"/>
  <c r="C1981" i="1"/>
  <c r="A1982" i="1"/>
  <c r="B1982" i="1"/>
  <c r="C1982" i="1"/>
  <c r="D1982" i="1"/>
  <c r="E1982" i="1"/>
  <c r="B1983" i="1"/>
  <c r="A1984" i="1"/>
  <c r="B1984" i="1"/>
  <c r="C1984" i="1"/>
  <c r="D1984" i="1"/>
  <c r="E1984" i="1"/>
  <c r="A1986" i="1"/>
  <c r="B1986" i="1"/>
  <c r="C1986" i="1"/>
  <c r="A1987" i="1"/>
  <c r="B1987" i="1"/>
  <c r="C1987" i="1"/>
  <c r="D1987" i="1"/>
  <c r="E1987" i="1"/>
  <c r="A1990" i="1"/>
  <c r="B1990" i="1"/>
  <c r="C1990" i="1"/>
  <c r="A1991" i="1"/>
  <c r="B1991" i="1"/>
  <c r="C1991" i="1"/>
  <c r="D1991" i="1"/>
  <c r="E1991" i="1"/>
  <c r="A1994" i="1"/>
  <c r="B1994" i="1"/>
  <c r="C1994" i="1"/>
  <c r="A1995" i="1"/>
  <c r="B1995" i="1"/>
  <c r="C1995" i="1"/>
  <c r="D1995" i="1"/>
  <c r="E1995" i="1"/>
  <c r="A1998" i="1"/>
  <c r="B1998" i="1"/>
  <c r="C1998" i="1"/>
  <c r="A1999" i="1"/>
  <c r="B1999" i="1"/>
  <c r="C1999" i="1"/>
  <c r="D1999" i="1"/>
  <c r="E1999" i="1"/>
  <c r="A2002" i="1"/>
  <c r="B2002" i="1"/>
  <c r="C2002" i="1"/>
  <c r="A2003" i="1"/>
  <c r="B2003" i="1"/>
  <c r="C2003" i="1"/>
  <c r="D2003" i="1"/>
  <c r="E2003" i="1"/>
  <c r="A2006" i="1"/>
  <c r="B2006" i="1"/>
  <c r="C2006" i="1"/>
  <c r="A2007" i="1"/>
  <c r="B2007" i="1"/>
  <c r="C2007" i="1"/>
  <c r="D2007" i="1"/>
  <c r="E2007" i="1"/>
  <c r="A2010" i="1"/>
  <c r="B2010" i="1"/>
  <c r="C2010" i="1"/>
  <c r="A2011" i="1"/>
  <c r="B2011" i="1"/>
  <c r="C2011" i="1"/>
  <c r="D2011" i="1"/>
  <c r="E2011" i="1"/>
  <c r="A2014" i="1"/>
  <c r="B2014" i="1"/>
  <c r="C2014" i="1"/>
  <c r="A2015" i="1"/>
  <c r="B2015" i="1"/>
  <c r="C2015" i="1"/>
  <c r="D2015" i="1"/>
  <c r="E2015" i="1"/>
  <c r="A2018" i="1"/>
  <c r="B2018" i="1"/>
  <c r="C2018" i="1"/>
  <c r="A2019" i="1"/>
  <c r="B2019" i="1"/>
  <c r="C2019" i="1"/>
  <c r="D2019" i="1"/>
  <c r="E2019" i="1"/>
  <c r="A2022" i="1"/>
  <c r="B2022" i="1"/>
  <c r="C2022" i="1"/>
  <c r="A2023" i="1"/>
  <c r="B2023" i="1"/>
  <c r="C2023" i="1"/>
  <c r="D2023" i="1"/>
  <c r="E2023" i="1"/>
  <c r="A2026" i="1"/>
  <c r="B2026" i="1"/>
  <c r="C2026" i="1"/>
  <c r="A2027" i="1"/>
  <c r="B2027" i="1"/>
  <c r="C2027" i="1"/>
  <c r="D2027" i="1"/>
  <c r="E2027" i="1"/>
  <c r="A2030" i="1"/>
  <c r="B2030" i="1"/>
  <c r="C2030" i="1"/>
  <c r="A2031" i="1"/>
  <c r="B2031" i="1"/>
  <c r="C2031" i="1"/>
  <c r="D2031" i="1"/>
  <c r="E2031" i="1"/>
  <c r="A2034" i="1"/>
  <c r="B2034" i="1"/>
  <c r="C2034" i="1"/>
  <c r="A2035" i="1"/>
  <c r="B2035" i="1"/>
  <c r="C2035" i="1"/>
  <c r="D2035" i="1"/>
  <c r="E2035" i="1"/>
  <c r="A2038" i="1"/>
  <c r="B2038" i="1"/>
  <c r="C2038" i="1"/>
  <c r="A2039" i="1"/>
  <c r="B2039" i="1"/>
  <c r="C2039" i="1"/>
  <c r="D2039" i="1"/>
  <c r="E2039" i="1"/>
  <c r="A2041" i="1"/>
  <c r="B2041" i="1"/>
  <c r="C2041" i="1"/>
  <c r="A2042" i="1"/>
  <c r="B2042" i="1"/>
  <c r="C2042" i="1"/>
  <c r="D2042" i="1"/>
  <c r="E2042" i="1"/>
  <c r="B2043" i="1"/>
  <c r="A2044" i="1"/>
  <c r="B2044" i="1"/>
  <c r="C2044" i="1"/>
  <c r="D2044" i="1"/>
  <c r="E2044" i="1"/>
  <c r="A2046" i="1"/>
  <c r="B2046" i="1"/>
  <c r="C2046" i="1"/>
  <c r="A2047" i="1"/>
  <c r="B2047" i="1"/>
  <c r="C2047" i="1"/>
  <c r="D2047" i="1"/>
  <c r="E2047" i="1"/>
  <c r="A2050" i="1"/>
  <c r="B2050" i="1"/>
  <c r="C2050" i="1"/>
  <c r="A2051" i="1"/>
  <c r="B2051" i="1"/>
  <c r="C2051" i="1"/>
  <c r="D2051" i="1"/>
  <c r="E2051" i="1"/>
  <c r="A2054" i="1"/>
  <c r="B2054" i="1"/>
  <c r="C2054" i="1"/>
  <c r="A2055" i="1"/>
  <c r="B2055" i="1"/>
  <c r="C2055" i="1"/>
  <c r="D2055" i="1"/>
  <c r="E2055" i="1"/>
  <c r="A2058" i="1"/>
  <c r="B2058" i="1"/>
  <c r="C2058" i="1"/>
  <c r="A2059" i="1"/>
  <c r="B2059" i="1"/>
  <c r="C2059" i="1"/>
  <c r="D2059" i="1"/>
  <c r="E2059" i="1"/>
  <c r="A2062" i="1"/>
  <c r="B2062" i="1"/>
  <c r="C2062" i="1"/>
  <c r="A2063" i="1"/>
  <c r="B2063" i="1"/>
  <c r="C2063" i="1"/>
  <c r="D2063" i="1"/>
  <c r="E2063" i="1"/>
  <c r="A2066" i="1"/>
  <c r="B2066" i="1"/>
  <c r="C2066" i="1"/>
  <c r="A2067" i="1"/>
  <c r="B2067" i="1"/>
  <c r="C2067" i="1"/>
  <c r="D2067" i="1"/>
  <c r="E2067" i="1"/>
  <c r="A2070" i="1"/>
  <c r="B2070" i="1"/>
  <c r="C2070" i="1"/>
  <c r="A2071" i="1"/>
  <c r="B2071" i="1"/>
  <c r="C2071" i="1"/>
  <c r="D2071" i="1"/>
  <c r="E2071" i="1"/>
  <c r="A2074" i="1"/>
  <c r="B2074" i="1"/>
  <c r="C2074" i="1"/>
  <c r="A2075" i="1"/>
  <c r="B2075" i="1"/>
  <c r="C2075" i="1"/>
  <c r="D2075" i="1"/>
  <c r="E2075" i="1"/>
  <c r="A2078" i="1"/>
  <c r="B2078" i="1"/>
  <c r="C2078" i="1"/>
  <c r="A2079" i="1"/>
  <c r="B2079" i="1"/>
  <c r="C2079" i="1"/>
  <c r="D2079" i="1"/>
  <c r="E2079" i="1"/>
  <c r="A2082" i="1"/>
  <c r="B2082" i="1"/>
  <c r="C2082" i="1"/>
  <c r="A2083" i="1"/>
  <c r="B2083" i="1"/>
  <c r="C2083" i="1"/>
  <c r="D2083" i="1"/>
  <c r="E2083" i="1"/>
  <c r="A2086" i="1"/>
  <c r="B2086" i="1"/>
  <c r="C2086" i="1"/>
  <c r="A2087" i="1"/>
  <c r="B2087" i="1"/>
  <c r="C2087" i="1"/>
  <c r="D2087" i="1"/>
  <c r="E2087" i="1"/>
  <c r="A2090" i="1"/>
  <c r="B2090" i="1"/>
  <c r="C2090" i="1"/>
  <c r="A2091" i="1"/>
  <c r="B2091" i="1"/>
  <c r="C2091" i="1"/>
  <c r="D2091" i="1"/>
  <c r="E2091" i="1"/>
  <c r="A2094" i="1"/>
  <c r="B2094" i="1"/>
  <c r="C2094" i="1"/>
  <c r="A2095" i="1"/>
  <c r="B2095" i="1"/>
  <c r="C2095" i="1"/>
  <c r="D2095" i="1"/>
  <c r="E2095" i="1"/>
  <c r="A2098" i="1"/>
  <c r="B2098" i="1"/>
  <c r="C2098" i="1"/>
  <c r="A2099" i="1"/>
  <c r="B2099" i="1"/>
  <c r="C2099" i="1"/>
  <c r="D2099" i="1"/>
  <c r="E2099" i="1"/>
  <c r="A2101" i="1"/>
  <c r="B2101" i="1"/>
  <c r="C2101" i="1"/>
  <c r="A2102" i="1"/>
  <c r="B2102" i="1"/>
  <c r="C2102" i="1"/>
  <c r="D2102" i="1"/>
  <c r="E2102" i="1"/>
  <c r="B2103" i="1"/>
  <c r="A2104" i="1"/>
  <c r="B2104" i="1"/>
  <c r="C2104" i="1"/>
  <c r="D2104" i="1"/>
  <c r="E2104" i="1"/>
  <c r="A2106" i="1"/>
  <c r="B2106" i="1"/>
  <c r="C2106" i="1"/>
  <c r="A2107" i="1"/>
  <c r="B2107" i="1"/>
  <c r="C2107" i="1"/>
  <c r="D2107" i="1"/>
  <c r="E2107" i="1"/>
  <c r="A2110" i="1"/>
  <c r="B2110" i="1"/>
  <c r="C2110" i="1"/>
  <c r="A2111" i="1"/>
  <c r="B2111" i="1"/>
  <c r="C2111" i="1"/>
  <c r="D2111" i="1"/>
  <c r="E2111" i="1"/>
  <c r="A2114" i="1"/>
  <c r="B2114" i="1"/>
  <c r="C2114" i="1"/>
  <c r="A2115" i="1"/>
  <c r="B2115" i="1"/>
  <c r="C2115" i="1"/>
  <c r="D2115" i="1"/>
  <c r="E2115" i="1"/>
  <c r="A2118" i="1"/>
  <c r="B2118" i="1"/>
  <c r="C2118" i="1"/>
  <c r="A2119" i="1"/>
  <c r="B2119" i="1"/>
  <c r="C2119" i="1"/>
  <c r="D2119" i="1"/>
  <c r="E2119" i="1"/>
  <c r="A2122" i="1"/>
  <c r="B2122" i="1"/>
  <c r="C2122" i="1"/>
  <c r="A2123" i="1"/>
  <c r="B2123" i="1"/>
  <c r="C2123" i="1"/>
  <c r="D2123" i="1"/>
  <c r="E2123" i="1"/>
  <c r="A2126" i="1"/>
  <c r="B2126" i="1"/>
  <c r="C2126" i="1"/>
  <c r="A2127" i="1"/>
  <c r="B2127" i="1"/>
  <c r="C2127" i="1"/>
  <c r="D2127" i="1"/>
  <c r="E2127" i="1"/>
  <c r="A2130" i="1"/>
  <c r="B2130" i="1"/>
  <c r="C2130" i="1"/>
  <c r="A2131" i="1"/>
  <c r="B2131" i="1"/>
  <c r="C2131" i="1"/>
  <c r="D2131" i="1"/>
  <c r="E2131" i="1"/>
  <c r="A2134" i="1"/>
  <c r="B2134" i="1"/>
  <c r="C2134" i="1"/>
  <c r="A2135" i="1"/>
  <c r="B2135" i="1"/>
  <c r="C2135" i="1"/>
  <c r="D2135" i="1"/>
  <c r="E2135" i="1"/>
  <c r="A2138" i="1"/>
  <c r="B2138" i="1"/>
  <c r="C2138" i="1"/>
  <c r="A2139" i="1"/>
  <c r="B2139" i="1"/>
  <c r="C2139" i="1"/>
  <c r="D2139" i="1"/>
  <c r="E2139" i="1"/>
  <c r="A2142" i="1"/>
  <c r="B2142" i="1"/>
  <c r="C2142" i="1"/>
  <c r="A2143" i="1"/>
  <c r="B2143" i="1"/>
  <c r="C2143" i="1"/>
  <c r="D2143" i="1"/>
  <c r="E2143" i="1"/>
  <c r="A2146" i="1"/>
  <c r="B2146" i="1"/>
  <c r="C2146" i="1"/>
  <c r="A2147" i="1"/>
  <c r="B2147" i="1"/>
  <c r="C2147" i="1"/>
  <c r="D2147" i="1"/>
  <c r="E2147" i="1"/>
  <c r="A2150" i="1"/>
  <c r="B2150" i="1"/>
  <c r="C2150" i="1"/>
  <c r="A2151" i="1"/>
  <c r="B2151" i="1"/>
  <c r="C2151" i="1"/>
  <c r="D2151" i="1"/>
  <c r="E2151" i="1"/>
  <c r="A2154" i="1"/>
  <c r="B2154" i="1"/>
  <c r="C2154" i="1"/>
  <c r="A2155" i="1"/>
  <c r="B2155" i="1"/>
  <c r="C2155" i="1"/>
  <c r="D2155" i="1"/>
  <c r="E2155" i="1"/>
  <c r="A2158" i="1"/>
  <c r="B2158" i="1"/>
  <c r="C2158" i="1"/>
  <c r="A2159" i="1"/>
  <c r="B2159" i="1"/>
  <c r="C2159" i="1"/>
  <c r="D2159" i="1"/>
  <c r="E2159" i="1"/>
  <c r="A2161" i="1"/>
  <c r="B2161" i="1"/>
  <c r="C2161" i="1"/>
  <c r="A2162" i="1"/>
  <c r="B2162" i="1"/>
  <c r="C2162" i="1"/>
  <c r="D2162" i="1"/>
  <c r="E2162" i="1"/>
  <c r="B2163" i="1"/>
  <c r="A2164" i="1"/>
  <c r="B2164" i="1"/>
  <c r="C2164" i="1"/>
  <c r="D2164" i="1"/>
  <c r="E2164" i="1"/>
  <c r="A2166" i="1"/>
  <c r="B2166" i="1"/>
  <c r="C2166" i="1"/>
  <c r="A2167" i="1"/>
  <c r="B2167" i="1"/>
  <c r="C2167" i="1"/>
  <c r="D2167" i="1"/>
  <c r="E2167" i="1"/>
  <c r="A2170" i="1"/>
  <c r="B2170" i="1"/>
  <c r="C2170" i="1"/>
  <c r="A2171" i="1"/>
  <c r="B2171" i="1"/>
  <c r="C2171" i="1"/>
  <c r="D2171" i="1"/>
  <c r="E2171" i="1"/>
  <c r="A2174" i="1"/>
  <c r="B2174" i="1"/>
  <c r="C2174" i="1"/>
  <c r="A2175" i="1"/>
  <c r="B2175" i="1"/>
  <c r="C2175" i="1"/>
  <c r="D2175" i="1"/>
  <c r="E2175" i="1"/>
  <c r="A2178" i="1"/>
  <c r="B2178" i="1"/>
  <c r="C2178" i="1"/>
  <c r="A2179" i="1"/>
  <c r="B2179" i="1"/>
  <c r="C2179" i="1"/>
  <c r="D2179" i="1"/>
  <c r="E2179" i="1"/>
  <c r="A2182" i="1"/>
  <c r="B2182" i="1"/>
  <c r="C2182" i="1"/>
  <c r="A2183" i="1"/>
  <c r="B2183" i="1"/>
  <c r="C2183" i="1"/>
  <c r="D2183" i="1"/>
  <c r="E2183" i="1"/>
  <c r="A2186" i="1"/>
  <c r="B2186" i="1"/>
  <c r="C2186" i="1"/>
  <c r="A2187" i="1"/>
  <c r="B2187" i="1"/>
  <c r="C2187" i="1"/>
  <c r="D2187" i="1"/>
  <c r="E2187" i="1"/>
  <c r="A2190" i="1"/>
  <c r="B2190" i="1"/>
  <c r="C2190" i="1"/>
  <c r="A2191" i="1"/>
  <c r="B2191" i="1"/>
  <c r="C2191" i="1"/>
  <c r="D2191" i="1"/>
  <c r="E2191" i="1"/>
  <c r="A2194" i="1"/>
  <c r="B2194" i="1"/>
  <c r="C2194" i="1"/>
  <c r="A2195" i="1"/>
  <c r="B2195" i="1"/>
  <c r="C2195" i="1"/>
  <c r="D2195" i="1"/>
  <c r="E2195" i="1"/>
  <c r="A2198" i="1"/>
  <c r="B2198" i="1"/>
  <c r="C2198" i="1"/>
  <c r="A2199" i="1"/>
  <c r="B2199" i="1"/>
  <c r="C2199" i="1"/>
  <c r="D2199" i="1"/>
  <c r="E2199" i="1"/>
  <c r="A2202" i="1"/>
  <c r="B2202" i="1"/>
  <c r="C2202" i="1"/>
  <c r="A2203" i="1"/>
  <c r="B2203" i="1"/>
  <c r="C2203" i="1"/>
  <c r="D2203" i="1"/>
  <c r="E2203" i="1"/>
  <c r="A2206" i="1"/>
  <c r="B2206" i="1"/>
  <c r="C2206" i="1"/>
  <c r="A2207" i="1"/>
  <c r="B2207" i="1"/>
  <c r="C2207" i="1"/>
  <c r="D2207" i="1"/>
  <c r="E2207" i="1"/>
  <c r="A2210" i="1"/>
  <c r="B2210" i="1"/>
  <c r="C2210" i="1"/>
  <c r="A2211" i="1"/>
  <c r="B2211" i="1"/>
  <c r="C2211" i="1"/>
  <c r="D2211" i="1"/>
  <c r="E2211" i="1"/>
  <c r="A2214" i="1"/>
  <c r="B2214" i="1"/>
  <c r="C2214" i="1"/>
  <c r="A2215" i="1"/>
  <c r="B2215" i="1"/>
  <c r="C2215" i="1"/>
  <c r="D2215" i="1"/>
  <c r="E2215" i="1"/>
  <c r="A2218" i="1"/>
  <c r="B2218" i="1"/>
  <c r="C2218" i="1"/>
  <c r="A2219" i="1"/>
  <c r="B2219" i="1"/>
  <c r="C2219" i="1"/>
  <c r="D2219" i="1"/>
  <c r="E2219" i="1"/>
  <c r="A2221" i="1"/>
  <c r="B2221" i="1"/>
  <c r="C2221" i="1"/>
  <c r="A2222" i="1"/>
  <c r="B2222" i="1"/>
  <c r="C2222" i="1"/>
  <c r="D2222" i="1"/>
  <c r="E2222" i="1"/>
  <c r="B2223" i="1"/>
  <c r="A2224" i="1"/>
  <c r="B2224" i="1"/>
  <c r="C2224" i="1"/>
  <c r="D2224" i="1"/>
  <c r="E2224" i="1"/>
  <c r="A2226" i="1"/>
  <c r="B2226" i="1"/>
  <c r="C2226" i="1"/>
  <c r="A2227" i="1"/>
  <c r="B2227" i="1"/>
  <c r="C2227" i="1"/>
  <c r="D2227" i="1"/>
  <c r="E2227" i="1"/>
  <c r="A2230" i="1"/>
  <c r="B2230" i="1"/>
  <c r="C2230" i="1"/>
  <c r="A2231" i="1"/>
  <c r="B2231" i="1"/>
  <c r="C2231" i="1"/>
  <c r="D2231" i="1"/>
  <c r="E2231" i="1"/>
  <c r="A2234" i="1"/>
  <c r="B2234" i="1"/>
  <c r="C2234" i="1"/>
  <c r="A2235" i="1"/>
  <c r="B2235" i="1"/>
  <c r="C2235" i="1"/>
  <c r="D2235" i="1"/>
  <c r="E2235" i="1"/>
  <c r="A2238" i="1"/>
  <c r="B2238" i="1"/>
  <c r="C2238" i="1"/>
  <c r="A2239" i="1"/>
  <c r="B2239" i="1"/>
  <c r="C2239" i="1"/>
  <c r="D2239" i="1"/>
  <c r="E2239" i="1"/>
  <c r="A2242" i="1"/>
  <c r="B2242" i="1"/>
  <c r="C2242" i="1"/>
  <c r="A2243" i="1"/>
  <c r="B2243" i="1"/>
  <c r="C2243" i="1"/>
  <c r="D2243" i="1"/>
  <c r="E2243" i="1"/>
  <c r="A2246" i="1"/>
  <c r="B2246" i="1"/>
  <c r="C2246" i="1"/>
  <c r="A2247" i="1"/>
  <c r="B2247" i="1"/>
  <c r="C2247" i="1"/>
  <c r="D2247" i="1"/>
  <c r="E2247" i="1"/>
  <c r="A2250" i="1"/>
  <c r="B2250" i="1"/>
  <c r="C2250" i="1"/>
  <c r="A2251" i="1"/>
  <c r="B2251" i="1"/>
  <c r="C2251" i="1"/>
  <c r="D2251" i="1"/>
  <c r="E2251" i="1"/>
  <c r="A2254" i="1"/>
  <c r="B2254" i="1"/>
  <c r="C2254" i="1"/>
  <c r="A2255" i="1"/>
  <c r="B2255" i="1"/>
  <c r="C2255" i="1"/>
  <c r="D2255" i="1"/>
  <c r="E2255" i="1"/>
  <c r="A2258" i="1"/>
  <c r="B2258" i="1"/>
  <c r="C2258" i="1"/>
  <c r="A2259" i="1"/>
  <c r="B2259" i="1"/>
  <c r="C2259" i="1"/>
  <c r="D2259" i="1"/>
  <c r="E2259" i="1"/>
  <c r="A2262" i="1"/>
  <c r="B2262" i="1"/>
  <c r="C2262" i="1"/>
  <c r="A2263" i="1"/>
  <c r="B2263" i="1"/>
  <c r="C2263" i="1"/>
  <c r="D2263" i="1"/>
  <c r="E2263" i="1"/>
  <c r="A2266" i="1"/>
  <c r="B2266" i="1"/>
  <c r="C2266" i="1"/>
  <c r="A2267" i="1"/>
  <c r="B2267" i="1"/>
  <c r="C2267" i="1"/>
  <c r="D2267" i="1"/>
  <c r="E2267" i="1"/>
  <c r="A2270" i="1"/>
  <c r="B2270" i="1"/>
  <c r="C2270" i="1"/>
  <c r="A2271" i="1"/>
  <c r="B2271" i="1"/>
  <c r="C2271" i="1"/>
  <c r="D2271" i="1"/>
  <c r="E2271" i="1"/>
  <c r="A2274" i="1"/>
  <c r="B2274" i="1"/>
  <c r="C2274" i="1"/>
  <c r="A2275" i="1"/>
  <c r="B2275" i="1"/>
  <c r="C2275" i="1"/>
  <c r="D2275" i="1"/>
  <c r="E2275" i="1"/>
  <c r="A2278" i="1"/>
  <c r="B2278" i="1"/>
  <c r="C2278" i="1"/>
  <c r="A2279" i="1"/>
  <c r="B2279" i="1"/>
  <c r="C2279" i="1"/>
  <c r="D2279" i="1"/>
  <c r="E2279" i="1"/>
  <c r="A2281" i="1"/>
  <c r="B2281" i="1"/>
  <c r="C2281" i="1"/>
  <c r="A2282" i="1"/>
  <c r="B2282" i="1"/>
  <c r="C2282" i="1"/>
  <c r="D2282" i="1"/>
  <c r="E2282" i="1"/>
  <c r="B2283" i="1"/>
  <c r="A2284" i="1"/>
  <c r="B2284" i="1"/>
  <c r="C2284" i="1"/>
  <c r="D2284" i="1"/>
  <c r="E2284" i="1"/>
  <c r="A2286" i="1"/>
  <c r="B2286" i="1"/>
  <c r="C2286" i="1"/>
  <c r="A2287" i="1"/>
  <c r="B2287" i="1"/>
  <c r="C2287" i="1"/>
  <c r="D2287" i="1"/>
  <c r="E2287" i="1"/>
  <c r="A2290" i="1"/>
  <c r="B2290" i="1"/>
  <c r="C2290" i="1"/>
  <c r="A2291" i="1"/>
  <c r="B2291" i="1"/>
  <c r="C2291" i="1"/>
  <c r="D2291" i="1"/>
  <c r="E2291" i="1"/>
  <c r="A2294" i="1"/>
  <c r="B2294" i="1"/>
  <c r="C2294" i="1"/>
  <c r="A2295" i="1"/>
  <c r="B2295" i="1"/>
  <c r="C2295" i="1"/>
  <c r="D2295" i="1"/>
  <c r="E2295" i="1"/>
  <c r="A2298" i="1"/>
  <c r="B2298" i="1"/>
  <c r="C2298" i="1"/>
  <c r="A2299" i="1"/>
  <c r="B2299" i="1"/>
  <c r="C2299" i="1"/>
  <c r="D2299" i="1"/>
  <c r="E2299" i="1"/>
  <c r="A2302" i="1"/>
  <c r="B2302" i="1"/>
  <c r="C2302" i="1"/>
  <c r="A2303" i="1"/>
  <c r="B2303" i="1"/>
  <c r="C2303" i="1"/>
  <c r="D2303" i="1"/>
  <c r="E2303" i="1"/>
  <c r="A2306" i="1"/>
  <c r="B2306" i="1"/>
  <c r="C2306" i="1"/>
  <c r="A2307" i="1"/>
  <c r="B2307" i="1"/>
  <c r="C2307" i="1"/>
  <c r="D2307" i="1"/>
  <c r="E2307" i="1"/>
  <c r="A2310" i="1"/>
  <c r="B2310" i="1"/>
  <c r="C2310" i="1"/>
  <c r="A2311" i="1"/>
  <c r="B2311" i="1"/>
  <c r="C2311" i="1"/>
  <c r="D2311" i="1"/>
  <c r="E2311" i="1"/>
  <c r="A2314" i="1"/>
  <c r="B2314" i="1"/>
  <c r="C2314" i="1"/>
  <c r="A2315" i="1"/>
  <c r="B2315" i="1"/>
  <c r="C2315" i="1"/>
  <c r="D2315" i="1"/>
  <c r="E2315" i="1"/>
  <c r="A2318" i="1"/>
  <c r="B2318" i="1"/>
  <c r="C2318" i="1"/>
  <c r="A2319" i="1"/>
  <c r="B2319" i="1"/>
  <c r="C2319" i="1"/>
  <c r="D2319" i="1"/>
  <c r="E2319" i="1"/>
  <c r="A2322" i="1"/>
  <c r="B2322" i="1"/>
  <c r="C2322" i="1"/>
  <c r="A2323" i="1"/>
  <c r="B2323" i="1"/>
  <c r="C2323" i="1"/>
  <c r="D2323" i="1"/>
  <c r="E2323" i="1"/>
  <c r="A2326" i="1"/>
  <c r="B2326" i="1"/>
  <c r="C2326" i="1"/>
  <c r="A2327" i="1"/>
  <c r="B2327" i="1"/>
  <c r="C2327" i="1"/>
  <c r="D2327" i="1"/>
  <c r="E2327" i="1"/>
  <c r="A2330" i="1"/>
  <c r="B2330" i="1"/>
  <c r="C2330" i="1"/>
  <c r="A2331" i="1"/>
  <c r="B2331" i="1"/>
  <c r="C2331" i="1"/>
  <c r="D2331" i="1"/>
  <c r="E2331" i="1"/>
  <c r="A2334" i="1"/>
  <c r="B2334" i="1"/>
  <c r="C2334" i="1"/>
  <c r="A2335" i="1"/>
  <c r="B2335" i="1"/>
  <c r="C2335" i="1"/>
  <c r="D2335" i="1"/>
  <c r="E2335" i="1"/>
  <c r="A2338" i="1"/>
  <c r="B2338" i="1"/>
  <c r="C2338" i="1"/>
  <c r="A2339" i="1"/>
  <c r="B2339" i="1"/>
  <c r="C2339" i="1"/>
  <c r="D2339" i="1"/>
  <c r="E2339" i="1"/>
  <c r="A2341" i="1"/>
  <c r="B2341" i="1"/>
  <c r="C2341" i="1"/>
  <c r="A2342" i="1"/>
  <c r="B2342" i="1"/>
  <c r="C2342" i="1"/>
  <c r="D2342" i="1"/>
  <c r="E2342" i="1"/>
  <c r="B2343" i="1"/>
  <c r="A2344" i="1"/>
  <c r="B2344" i="1"/>
  <c r="C2344" i="1"/>
  <c r="D2344" i="1"/>
  <c r="E2344" i="1"/>
  <c r="A2346" i="1"/>
  <c r="B2346" i="1"/>
  <c r="C2346" i="1"/>
  <c r="A2347" i="1"/>
  <c r="B2347" i="1"/>
  <c r="C2347" i="1"/>
  <c r="D2347" i="1"/>
  <c r="E2347" i="1"/>
  <c r="A2350" i="1"/>
  <c r="B2350" i="1"/>
  <c r="C2350" i="1"/>
  <c r="A2351" i="1"/>
  <c r="B2351" i="1"/>
  <c r="C2351" i="1"/>
  <c r="D2351" i="1"/>
  <c r="E2351" i="1"/>
  <c r="A2354" i="1"/>
  <c r="B2354" i="1"/>
  <c r="C2354" i="1"/>
  <c r="A2355" i="1"/>
  <c r="B2355" i="1"/>
  <c r="C2355" i="1"/>
  <c r="D2355" i="1"/>
  <c r="E2355" i="1"/>
  <c r="A2358" i="1"/>
  <c r="B2358" i="1"/>
  <c r="C2358" i="1"/>
  <c r="A2359" i="1"/>
  <c r="B2359" i="1"/>
  <c r="C2359" i="1"/>
  <c r="D2359" i="1"/>
  <c r="E2359" i="1"/>
  <c r="A2362" i="1"/>
  <c r="B2362" i="1"/>
  <c r="C2362" i="1"/>
  <c r="A2363" i="1"/>
  <c r="B2363" i="1"/>
  <c r="C2363" i="1"/>
  <c r="D2363" i="1"/>
  <c r="E2363" i="1"/>
  <c r="A2366" i="1"/>
  <c r="B2366" i="1"/>
  <c r="C2366" i="1"/>
  <c r="A2367" i="1"/>
  <c r="B2367" i="1"/>
  <c r="C2367" i="1"/>
  <c r="D2367" i="1"/>
  <c r="E2367" i="1"/>
  <c r="A2370" i="1"/>
  <c r="B2370" i="1"/>
  <c r="C2370" i="1"/>
  <c r="A2371" i="1"/>
  <c r="B2371" i="1"/>
  <c r="C2371" i="1"/>
  <c r="D2371" i="1"/>
  <c r="E2371" i="1"/>
  <c r="A2374" i="1"/>
  <c r="B2374" i="1"/>
  <c r="C2374" i="1"/>
  <c r="A2375" i="1"/>
  <c r="B2375" i="1"/>
  <c r="C2375" i="1"/>
  <c r="D2375" i="1"/>
  <c r="E2375" i="1"/>
  <c r="A2378" i="1"/>
  <c r="B2378" i="1"/>
  <c r="C2378" i="1"/>
  <c r="A2379" i="1"/>
  <c r="B2379" i="1"/>
  <c r="C2379" i="1"/>
  <c r="D2379" i="1"/>
  <c r="E2379" i="1"/>
  <c r="A2382" i="1"/>
  <c r="B2382" i="1"/>
  <c r="C2382" i="1"/>
  <c r="A2383" i="1"/>
  <c r="B2383" i="1"/>
  <c r="C2383" i="1"/>
  <c r="D2383" i="1"/>
  <c r="E2383" i="1"/>
  <c r="A2386" i="1"/>
  <c r="B2386" i="1"/>
  <c r="C2386" i="1"/>
  <c r="A2387" i="1"/>
  <c r="B2387" i="1"/>
  <c r="C2387" i="1"/>
  <c r="D2387" i="1"/>
  <c r="E2387" i="1"/>
  <c r="A2390" i="1"/>
  <c r="B2390" i="1"/>
  <c r="C2390" i="1"/>
  <c r="A2391" i="1"/>
  <c r="B2391" i="1"/>
  <c r="C2391" i="1"/>
  <c r="D2391" i="1"/>
  <c r="E2391" i="1"/>
  <c r="A2394" i="1"/>
  <c r="B2394" i="1"/>
  <c r="C2394" i="1"/>
  <c r="A2395" i="1"/>
  <c r="B2395" i="1"/>
  <c r="C2395" i="1"/>
  <c r="D2395" i="1"/>
  <c r="E2395" i="1"/>
  <c r="A2398" i="1"/>
  <c r="B2398" i="1"/>
  <c r="C2398" i="1"/>
  <c r="A2399" i="1"/>
  <c r="B2399" i="1"/>
  <c r="C2399" i="1"/>
  <c r="D2399" i="1"/>
  <c r="E2399" i="1"/>
  <c r="A2401" i="1"/>
  <c r="B2401" i="1"/>
  <c r="C2401" i="1"/>
  <c r="A2402" i="1"/>
  <c r="B2402" i="1"/>
  <c r="C2402" i="1"/>
  <c r="D2402" i="1"/>
  <c r="E2402" i="1"/>
  <c r="B2403" i="1"/>
  <c r="A2404" i="1"/>
  <c r="B2404" i="1"/>
  <c r="C2404" i="1"/>
  <c r="D2404" i="1"/>
  <c r="E2404" i="1"/>
  <c r="A2406" i="1"/>
  <c r="B2406" i="1"/>
  <c r="C2406" i="1"/>
  <c r="A2407" i="1"/>
  <c r="B2407" i="1"/>
  <c r="C2407" i="1"/>
  <c r="D2407" i="1"/>
  <c r="E2407" i="1"/>
  <c r="A2410" i="1"/>
  <c r="B2410" i="1"/>
  <c r="C2410" i="1"/>
  <c r="A2411" i="1"/>
  <c r="B2411" i="1"/>
  <c r="C2411" i="1"/>
  <c r="D2411" i="1"/>
  <c r="E2411" i="1"/>
  <c r="A2414" i="1"/>
  <c r="B2414" i="1"/>
  <c r="C2414" i="1"/>
  <c r="A2415" i="1"/>
  <c r="B2415" i="1"/>
  <c r="C2415" i="1"/>
  <c r="D2415" i="1"/>
  <c r="E2415" i="1"/>
  <c r="A2418" i="1"/>
  <c r="B2418" i="1"/>
  <c r="C2418" i="1"/>
  <c r="A2419" i="1"/>
  <c r="B2419" i="1"/>
  <c r="C2419" i="1"/>
  <c r="D2419" i="1"/>
  <c r="E2419" i="1"/>
  <c r="A2422" i="1"/>
  <c r="B2422" i="1"/>
  <c r="C2422" i="1"/>
  <c r="A2423" i="1"/>
  <c r="B2423" i="1"/>
  <c r="C2423" i="1"/>
  <c r="D2423" i="1"/>
  <c r="E2423" i="1"/>
  <c r="A2426" i="1"/>
  <c r="B2426" i="1"/>
  <c r="C2426" i="1"/>
  <c r="A2427" i="1"/>
  <c r="B2427" i="1"/>
  <c r="C2427" i="1"/>
  <c r="D2427" i="1"/>
  <c r="E2427" i="1"/>
  <c r="A2430" i="1"/>
  <c r="B2430" i="1"/>
  <c r="C2430" i="1"/>
  <c r="A2431" i="1"/>
  <c r="B2431" i="1"/>
  <c r="C2431" i="1"/>
  <c r="D2431" i="1"/>
  <c r="E2431" i="1"/>
  <c r="A2434" i="1"/>
  <c r="B2434" i="1"/>
  <c r="C2434" i="1"/>
  <c r="A2435" i="1"/>
  <c r="B2435" i="1"/>
  <c r="C2435" i="1"/>
  <c r="D2435" i="1"/>
  <c r="E2435" i="1"/>
  <c r="A2438" i="1"/>
  <c r="B2438" i="1"/>
  <c r="C2438" i="1"/>
  <c r="A2439" i="1"/>
  <c r="B2439" i="1"/>
  <c r="C2439" i="1"/>
  <c r="D2439" i="1"/>
  <c r="E2439" i="1"/>
  <c r="A2442" i="1"/>
  <c r="B2442" i="1"/>
  <c r="C2442" i="1"/>
  <c r="A2443" i="1"/>
  <c r="B2443" i="1"/>
  <c r="C2443" i="1"/>
  <c r="D2443" i="1"/>
  <c r="E2443" i="1"/>
  <c r="A2446" i="1"/>
  <c r="B2446" i="1"/>
  <c r="C2446" i="1"/>
  <c r="A2447" i="1"/>
  <c r="B2447" i="1"/>
  <c r="C2447" i="1"/>
  <c r="D2447" i="1"/>
  <c r="E2447" i="1"/>
  <c r="A2450" i="1"/>
  <c r="B2450" i="1"/>
  <c r="C2450" i="1"/>
  <c r="A2451" i="1"/>
  <c r="B2451" i="1"/>
  <c r="C2451" i="1"/>
  <c r="D2451" i="1"/>
  <c r="E2451" i="1"/>
  <c r="A2454" i="1"/>
  <c r="B2454" i="1"/>
  <c r="C2454" i="1"/>
  <c r="A2455" i="1"/>
  <c r="B2455" i="1"/>
  <c r="C2455" i="1"/>
  <c r="D2455" i="1"/>
  <c r="E2455" i="1"/>
  <c r="A2458" i="1"/>
  <c r="B2458" i="1"/>
  <c r="C2458" i="1"/>
  <c r="A2459" i="1"/>
  <c r="B2459" i="1"/>
  <c r="C2459" i="1"/>
  <c r="D2459" i="1"/>
  <c r="E2459" i="1"/>
  <c r="A2461" i="1"/>
  <c r="B2461" i="1"/>
  <c r="C2461" i="1"/>
  <c r="A2462" i="1"/>
  <c r="B2462" i="1"/>
  <c r="C2462" i="1"/>
  <c r="D2462" i="1"/>
  <c r="E2462" i="1"/>
  <c r="B2463" i="1"/>
  <c r="A2464" i="1"/>
  <c r="B2464" i="1"/>
  <c r="C2464" i="1"/>
  <c r="D2464" i="1"/>
  <c r="E2464" i="1"/>
  <c r="A2466" i="1"/>
  <c r="B2466" i="1"/>
  <c r="C2466" i="1"/>
  <c r="A2467" i="1"/>
  <c r="B2467" i="1"/>
  <c r="C2467" i="1"/>
  <c r="D2467" i="1"/>
  <c r="E2467" i="1"/>
  <c r="A2470" i="1"/>
  <c r="B2470" i="1"/>
  <c r="C2470" i="1"/>
  <c r="A2471" i="1"/>
  <c r="B2471" i="1"/>
  <c r="C2471" i="1"/>
  <c r="D2471" i="1"/>
  <c r="E2471" i="1"/>
  <c r="A2474" i="1"/>
  <c r="B2474" i="1"/>
  <c r="C2474" i="1"/>
  <c r="A2475" i="1"/>
  <c r="B2475" i="1"/>
  <c r="C2475" i="1"/>
  <c r="D2475" i="1"/>
  <c r="E2475" i="1"/>
  <c r="A2478" i="1"/>
  <c r="B2478" i="1"/>
  <c r="C2478" i="1"/>
  <c r="A2479" i="1"/>
  <c r="B2479" i="1"/>
  <c r="C2479" i="1"/>
  <c r="D2479" i="1"/>
  <c r="E2479" i="1"/>
  <c r="A2482" i="1"/>
  <c r="B2482" i="1"/>
  <c r="C2482" i="1"/>
  <c r="A2483" i="1"/>
  <c r="B2483" i="1"/>
  <c r="C2483" i="1"/>
  <c r="D2483" i="1"/>
  <c r="E2483" i="1"/>
  <c r="A2486" i="1"/>
  <c r="B2486" i="1"/>
  <c r="C2486" i="1"/>
  <c r="A2487" i="1"/>
  <c r="B2487" i="1"/>
  <c r="C2487" i="1"/>
  <c r="D2487" i="1"/>
  <c r="E2487" i="1"/>
  <c r="A2490" i="1"/>
  <c r="B2490" i="1"/>
  <c r="C2490" i="1"/>
  <c r="A2491" i="1"/>
  <c r="B2491" i="1"/>
  <c r="C2491" i="1"/>
  <c r="D2491" i="1"/>
  <c r="E2491" i="1"/>
  <c r="A2494" i="1"/>
  <c r="B2494" i="1"/>
  <c r="C2494" i="1"/>
  <c r="A2495" i="1"/>
  <c r="B2495" i="1"/>
  <c r="C2495" i="1"/>
  <c r="D2495" i="1"/>
  <c r="E2495" i="1"/>
  <c r="A2498" i="1"/>
  <c r="B2498" i="1"/>
  <c r="C2498" i="1"/>
  <c r="A2499" i="1"/>
  <c r="B2499" i="1"/>
  <c r="C2499" i="1"/>
  <c r="D2499" i="1"/>
  <c r="E2499" i="1"/>
  <c r="A2502" i="1"/>
  <c r="B2502" i="1"/>
  <c r="C2502" i="1"/>
  <c r="A2503" i="1"/>
  <c r="B2503" i="1"/>
  <c r="C2503" i="1"/>
  <c r="D2503" i="1"/>
  <c r="E2503" i="1"/>
  <c r="A2506" i="1"/>
  <c r="B2506" i="1"/>
  <c r="C2506" i="1"/>
  <c r="A2507" i="1"/>
  <c r="B2507" i="1"/>
  <c r="C2507" i="1"/>
  <c r="D2507" i="1"/>
  <c r="E2507" i="1"/>
  <c r="A2510" i="1"/>
  <c r="B2510" i="1"/>
  <c r="C2510" i="1"/>
  <c r="A2511" i="1"/>
  <c r="B2511" i="1"/>
  <c r="C2511" i="1"/>
  <c r="D2511" i="1"/>
  <c r="E2511" i="1"/>
  <c r="A2514" i="1"/>
  <c r="B2514" i="1"/>
  <c r="C2514" i="1"/>
  <c r="A2515" i="1"/>
  <c r="B2515" i="1"/>
  <c r="C2515" i="1"/>
  <c r="D2515" i="1"/>
  <c r="E2515" i="1"/>
  <c r="A2518" i="1"/>
  <c r="B2518" i="1"/>
  <c r="C2518" i="1"/>
  <c r="A2519" i="1"/>
  <c r="B2519" i="1"/>
  <c r="C2519" i="1"/>
  <c r="D2519" i="1"/>
  <c r="E2519" i="1"/>
  <c r="A2521" i="1"/>
  <c r="B2521" i="1"/>
  <c r="C2521" i="1"/>
  <c r="A2522" i="1"/>
  <c r="B2522" i="1"/>
  <c r="C2522" i="1"/>
  <c r="D2522" i="1"/>
  <c r="E2522" i="1"/>
  <c r="B2523" i="1"/>
  <c r="A2524" i="1"/>
  <c r="B2524" i="1"/>
  <c r="C2524" i="1"/>
  <c r="D2524" i="1"/>
  <c r="E2524" i="1"/>
  <c r="A2526" i="1"/>
  <c r="B2526" i="1"/>
  <c r="C2526" i="1"/>
  <c r="A2527" i="1"/>
  <c r="B2527" i="1"/>
  <c r="C2527" i="1"/>
  <c r="D2527" i="1"/>
  <c r="E2527" i="1"/>
  <c r="A2530" i="1"/>
  <c r="B2530" i="1"/>
  <c r="C2530" i="1"/>
  <c r="A2531" i="1"/>
  <c r="B2531" i="1"/>
  <c r="C2531" i="1"/>
  <c r="D2531" i="1"/>
  <c r="E2531" i="1"/>
  <c r="A2534" i="1"/>
  <c r="B2534" i="1"/>
  <c r="C2534" i="1"/>
  <c r="A2535" i="1"/>
  <c r="B2535" i="1"/>
  <c r="C2535" i="1"/>
  <c r="D2535" i="1"/>
  <c r="E2535" i="1"/>
  <c r="A2538" i="1"/>
  <c r="B2538" i="1"/>
  <c r="C2538" i="1"/>
  <c r="A2539" i="1"/>
  <c r="B2539" i="1"/>
  <c r="C2539" i="1"/>
  <c r="D2539" i="1"/>
  <c r="E2539" i="1"/>
  <c r="A2542" i="1"/>
  <c r="B2542" i="1"/>
  <c r="C2542" i="1"/>
  <c r="A2543" i="1"/>
  <c r="B2543" i="1"/>
  <c r="C2543" i="1"/>
  <c r="D2543" i="1"/>
  <c r="E2543" i="1"/>
  <c r="A2546" i="1"/>
  <c r="B2546" i="1"/>
  <c r="C2546" i="1"/>
  <c r="A2547" i="1"/>
  <c r="B2547" i="1"/>
  <c r="C2547" i="1"/>
  <c r="D2547" i="1"/>
  <c r="E2547" i="1"/>
  <c r="A2550" i="1"/>
  <c r="B2550" i="1"/>
  <c r="C2550" i="1"/>
  <c r="A2551" i="1"/>
  <c r="B2551" i="1"/>
  <c r="C2551" i="1"/>
  <c r="D2551" i="1"/>
  <c r="E2551" i="1"/>
  <c r="A2554" i="1"/>
  <c r="B2554" i="1"/>
  <c r="C2554" i="1"/>
  <c r="A2555" i="1"/>
  <c r="B2555" i="1"/>
  <c r="C2555" i="1"/>
  <c r="D2555" i="1"/>
  <c r="E2555" i="1"/>
  <c r="A2558" i="1"/>
  <c r="B2558" i="1"/>
  <c r="C2558" i="1"/>
  <c r="A2559" i="1"/>
  <c r="B2559" i="1"/>
  <c r="C2559" i="1"/>
  <c r="D2559" i="1"/>
  <c r="E2559" i="1"/>
  <c r="A2562" i="1"/>
  <c r="B2562" i="1"/>
  <c r="C2562" i="1"/>
  <c r="A2563" i="1"/>
  <c r="B2563" i="1"/>
  <c r="C2563" i="1"/>
  <c r="D2563" i="1"/>
  <c r="E2563" i="1"/>
  <c r="A2566" i="1"/>
  <c r="B2566" i="1"/>
  <c r="C2566" i="1"/>
  <c r="A2567" i="1"/>
  <c r="B2567" i="1"/>
  <c r="C2567" i="1"/>
  <c r="D2567" i="1"/>
  <c r="E2567" i="1"/>
  <c r="A2570" i="1"/>
  <c r="B2570" i="1"/>
  <c r="C2570" i="1"/>
  <c r="A2571" i="1"/>
  <c r="B2571" i="1"/>
  <c r="C2571" i="1"/>
  <c r="D2571" i="1"/>
  <c r="E2571" i="1"/>
  <c r="A2574" i="1"/>
  <c r="B2574" i="1"/>
  <c r="C2574" i="1"/>
  <c r="A2575" i="1"/>
  <c r="B2575" i="1"/>
  <c r="C2575" i="1"/>
  <c r="D2575" i="1"/>
  <c r="E2575" i="1"/>
  <c r="A2578" i="1"/>
  <c r="B2578" i="1"/>
  <c r="C2578" i="1"/>
  <c r="A2579" i="1"/>
  <c r="B2579" i="1"/>
  <c r="C2579" i="1"/>
  <c r="D2579" i="1"/>
  <c r="E2579" i="1"/>
  <c r="A2581" i="1"/>
  <c r="B2581" i="1"/>
  <c r="C2581" i="1"/>
  <c r="A2582" i="1"/>
  <c r="B2582" i="1"/>
  <c r="C2582" i="1"/>
  <c r="D2582" i="1"/>
  <c r="E2582" i="1"/>
  <c r="B2583" i="1"/>
  <c r="A2584" i="1"/>
  <c r="B2584" i="1"/>
  <c r="C2584" i="1"/>
  <c r="D2584" i="1"/>
  <c r="E2584" i="1"/>
  <c r="A2586" i="1"/>
  <c r="B2586" i="1"/>
  <c r="C2586" i="1"/>
  <c r="A2587" i="1"/>
  <c r="B2587" i="1"/>
  <c r="C2587" i="1"/>
  <c r="D2587" i="1"/>
  <c r="E2587" i="1"/>
  <c r="A2590" i="1"/>
  <c r="B2590" i="1"/>
  <c r="C2590" i="1"/>
  <c r="A2591" i="1"/>
  <c r="B2591" i="1"/>
  <c r="C2591" i="1"/>
  <c r="D2591" i="1"/>
  <c r="E2591" i="1"/>
  <c r="A2594" i="1"/>
  <c r="B2594" i="1"/>
  <c r="C2594" i="1"/>
  <c r="A2595" i="1"/>
  <c r="B2595" i="1"/>
  <c r="C2595" i="1"/>
  <c r="D2595" i="1"/>
  <c r="E2595" i="1"/>
  <c r="A2598" i="1"/>
  <c r="B2598" i="1"/>
  <c r="C2598" i="1"/>
  <c r="A2599" i="1"/>
  <c r="B2599" i="1"/>
  <c r="C2599" i="1"/>
  <c r="D2599" i="1"/>
  <c r="E2599" i="1"/>
  <c r="A2602" i="1"/>
  <c r="B2602" i="1"/>
  <c r="C2602" i="1"/>
  <c r="A2603" i="1"/>
  <c r="B2603" i="1"/>
  <c r="C2603" i="1"/>
  <c r="D2603" i="1"/>
  <c r="E2603" i="1"/>
  <c r="A2606" i="1"/>
  <c r="B2606" i="1"/>
  <c r="C2606" i="1"/>
  <c r="A2607" i="1"/>
  <c r="B2607" i="1"/>
  <c r="C2607" i="1"/>
  <c r="D2607" i="1"/>
  <c r="E2607" i="1"/>
  <c r="A2610" i="1"/>
  <c r="B2610" i="1"/>
  <c r="C2610" i="1"/>
  <c r="A2611" i="1"/>
  <c r="B2611" i="1"/>
  <c r="C2611" i="1"/>
  <c r="D2611" i="1"/>
  <c r="E2611" i="1"/>
  <c r="A2614" i="1"/>
  <c r="B2614" i="1"/>
  <c r="C2614" i="1"/>
  <c r="A2615" i="1"/>
  <c r="B2615" i="1"/>
  <c r="C2615" i="1"/>
  <c r="D2615" i="1"/>
  <c r="E2615" i="1"/>
  <c r="A2618" i="1"/>
  <c r="B2618" i="1"/>
  <c r="C2618" i="1"/>
  <c r="A2619" i="1"/>
  <c r="B2619" i="1"/>
  <c r="C2619" i="1"/>
  <c r="D2619" i="1"/>
  <c r="E2619" i="1"/>
  <c r="A2622" i="1"/>
  <c r="B2622" i="1"/>
  <c r="C2622" i="1"/>
  <c r="A2623" i="1"/>
  <c r="B2623" i="1"/>
  <c r="C2623" i="1"/>
  <c r="D2623" i="1"/>
  <c r="E2623" i="1"/>
  <c r="A2626" i="1"/>
  <c r="B2626" i="1"/>
  <c r="C2626" i="1"/>
  <c r="A2627" i="1"/>
  <c r="B2627" i="1"/>
  <c r="C2627" i="1"/>
  <c r="D2627" i="1"/>
  <c r="E2627" i="1"/>
  <c r="A2630" i="1"/>
  <c r="B2630" i="1"/>
  <c r="C2630" i="1"/>
  <c r="A2631" i="1"/>
  <c r="B2631" i="1"/>
  <c r="C2631" i="1"/>
  <c r="D2631" i="1"/>
  <c r="E2631" i="1"/>
  <c r="A2634" i="1"/>
  <c r="B2634" i="1"/>
  <c r="C2634" i="1"/>
  <c r="A2635" i="1"/>
  <c r="B2635" i="1"/>
  <c r="C2635" i="1"/>
  <c r="D2635" i="1"/>
  <c r="E2635" i="1"/>
  <c r="A2638" i="1"/>
  <c r="B2638" i="1"/>
  <c r="C2638" i="1"/>
  <c r="A2639" i="1"/>
  <c r="B2639" i="1"/>
  <c r="C2639" i="1"/>
  <c r="D2639" i="1"/>
  <c r="E2639" i="1"/>
  <c r="A2641" i="1"/>
  <c r="B2641" i="1"/>
  <c r="C2641" i="1"/>
  <c r="A2642" i="1"/>
  <c r="B2642" i="1"/>
  <c r="C2642" i="1"/>
  <c r="D2642" i="1"/>
  <c r="E2642" i="1"/>
  <c r="B2643" i="1"/>
  <c r="A2644" i="1"/>
  <c r="B2644" i="1"/>
  <c r="C2644" i="1"/>
  <c r="D2644" i="1"/>
  <c r="E2644" i="1"/>
  <c r="A2646" i="1"/>
  <c r="B2646" i="1"/>
  <c r="C2646" i="1"/>
  <c r="A2647" i="1"/>
  <c r="B2647" i="1"/>
  <c r="C2647" i="1"/>
  <c r="D2647" i="1"/>
  <c r="E2647" i="1"/>
  <c r="A2650" i="1"/>
  <c r="B2650" i="1"/>
  <c r="C2650" i="1"/>
  <c r="A2651" i="1"/>
  <c r="B2651" i="1"/>
  <c r="C2651" i="1"/>
  <c r="D2651" i="1"/>
  <c r="E2651" i="1"/>
  <c r="A2654" i="1"/>
  <c r="B2654" i="1"/>
  <c r="C2654" i="1"/>
  <c r="A2655" i="1"/>
  <c r="B2655" i="1"/>
  <c r="C2655" i="1"/>
  <c r="D2655" i="1"/>
  <c r="E2655" i="1"/>
  <c r="A2658" i="1"/>
  <c r="B2658" i="1"/>
  <c r="C2658" i="1"/>
  <c r="A2659" i="1"/>
  <c r="B2659" i="1"/>
  <c r="C2659" i="1"/>
  <c r="D2659" i="1"/>
  <c r="E2659" i="1"/>
  <c r="A2662" i="1"/>
  <c r="B2662" i="1"/>
  <c r="C2662" i="1"/>
  <c r="A2663" i="1"/>
  <c r="B2663" i="1"/>
  <c r="C2663" i="1"/>
  <c r="D2663" i="1"/>
  <c r="E2663" i="1"/>
  <c r="A2666" i="1"/>
  <c r="B2666" i="1"/>
  <c r="C2666" i="1"/>
  <c r="A2667" i="1"/>
  <c r="B2667" i="1"/>
  <c r="C2667" i="1"/>
  <c r="D2667" i="1"/>
  <c r="E2667" i="1"/>
  <c r="A2670" i="1"/>
  <c r="B2670" i="1"/>
  <c r="C2670" i="1"/>
  <c r="A2671" i="1"/>
  <c r="B2671" i="1"/>
  <c r="C2671" i="1"/>
  <c r="D2671" i="1"/>
  <c r="E2671" i="1"/>
  <c r="A2674" i="1"/>
  <c r="B2674" i="1"/>
  <c r="C2674" i="1"/>
  <c r="A2675" i="1"/>
  <c r="B2675" i="1"/>
  <c r="C2675" i="1"/>
  <c r="D2675" i="1"/>
  <c r="E2675" i="1"/>
  <c r="A2678" i="1"/>
  <c r="B2678" i="1"/>
  <c r="C2678" i="1"/>
  <c r="A2679" i="1"/>
  <c r="B2679" i="1"/>
  <c r="C2679" i="1"/>
  <c r="D2679" i="1"/>
  <c r="E2679" i="1"/>
  <c r="A2682" i="1"/>
  <c r="B2682" i="1"/>
  <c r="C2682" i="1"/>
  <c r="A2683" i="1"/>
  <c r="B2683" i="1"/>
  <c r="C2683" i="1"/>
  <c r="D2683" i="1"/>
  <c r="E2683" i="1"/>
  <c r="A2686" i="1"/>
  <c r="B2686" i="1"/>
  <c r="C2686" i="1"/>
  <c r="A2687" i="1"/>
  <c r="B2687" i="1"/>
  <c r="C2687" i="1"/>
  <c r="D2687" i="1"/>
  <c r="E2687" i="1"/>
  <c r="A2690" i="1"/>
  <c r="B2690" i="1"/>
  <c r="C2690" i="1"/>
  <c r="A2691" i="1"/>
  <c r="B2691" i="1"/>
  <c r="C2691" i="1"/>
  <c r="D2691" i="1"/>
  <c r="E2691" i="1"/>
  <c r="A2694" i="1"/>
  <c r="B2694" i="1"/>
  <c r="C2694" i="1"/>
  <c r="A2695" i="1"/>
  <c r="B2695" i="1"/>
  <c r="C2695" i="1"/>
  <c r="D2695" i="1"/>
  <c r="E2695" i="1"/>
  <c r="A2698" i="1"/>
  <c r="B2698" i="1"/>
  <c r="C2698" i="1"/>
  <c r="A2699" i="1"/>
  <c r="B2699" i="1"/>
  <c r="C2699" i="1"/>
  <c r="D2699" i="1"/>
  <c r="E2699" i="1"/>
  <c r="A2701" i="1"/>
  <c r="B2701" i="1"/>
  <c r="C2701" i="1"/>
  <c r="A2702" i="1"/>
  <c r="B2702" i="1"/>
  <c r="C2702" i="1"/>
  <c r="D2702" i="1"/>
  <c r="E2702" i="1"/>
  <c r="B2703" i="1"/>
  <c r="A2704" i="1"/>
  <c r="B2704" i="1"/>
  <c r="C2704" i="1"/>
  <c r="D2704" i="1"/>
  <c r="E2704" i="1"/>
  <c r="A2706" i="1"/>
  <c r="B2706" i="1"/>
  <c r="C2706" i="1"/>
  <c r="A2707" i="1"/>
  <c r="B2707" i="1"/>
  <c r="C2707" i="1"/>
  <c r="D2707" i="1"/>
  <c r="E2707" i="1"/>
  <c r="A2710" i="1"/>
  <c r="B2710" i="1"/>
  <c r="C2710" i="1"/>
  <c r="A2711" i="1"/>
  <c r="B2711" i="1"/>
  <c r="C2711" i="1"/>
  <c r="D2711" i="1"/>
  <c r="E2711" i="1"/>
  <c r="A2714" i="1"/>
  <c r="B2714" i="1"/>
  <c r="C2714" i="1"/>
  <c r="A2715" i="1"/>
  <c r="B2715" i="1"/>
  <c r="C2715" i="1"/>
  <c r="D2715" i="1"/>
  <c r="E2715" i="1"/>
  <c r="A2718" i="1"/>
  <c r="B2718" i="1"/>
  <c r="C2718" i="1"/>
  <c r="A2719" i="1"/>
  <c r="B2719" i="1"/>
  <c r="C2719" i="1"/>
  <c r="D2719" i="1"/>
  <c r="E2719" i="1"/>
  <c r="A2722" i="1"/>
  <c r="B2722" i="1"/>
  <c r="C2722" i="1"/>
  <c r="A2723" i="1"/>
  <c r="B2723" i="1"/>
  <c r="C2723" i="1"/>
  <c r="D2723" i="1"/>
  <c r="E2723" i="1"/>
  <c r="A2726" i="1"/>
  <c r="B2726" i="1"/>
  <c r="C2726" i="1"/>
  <c r="A2727" i="1"/>
  <c r="B2727" i="1"/>
  <c r="C2727" i="1"/>
  <c r="D2727" i="1"/>
  <c r="E2727" i="1"/>
  <c r="A2730" i="1"/>
  <c r="B2730" i="1"/>
  <c r="C2730" i="1"/>
  <c r="A2731" i="1"/>
  <c r="B2731" i="1"/>
  <c r="C2731" i="1"/>
  <c r="D2731" i="1"/>
  <c r="E2731" i="1"/>
  <c r="A2734" i="1"/>
  <c r="B2734" i="1"/>
  <c r="C2734" i="1"/>
  <c r="A2735" i="1"/>
  <c r="B2735" i="1"/>
  <c r="C2735" i="1"/>
  <c r="D2735" i="1"/>
  <c r="E2735" i="1"/>
  <c r="A2738" i="1"/>
  <c r="B2738" i="1"/>
  <c r="C2738" i="1"/>
  <c r="A2739" i="1"/>
  <c r="B2739" i="1"/>
  <c r="C2739" i="1"/>
  <c r="D2739" i="1"/>
  <c r="E2739" i="1"/>
  <c r="A2742" i="1"/>
  <c r="B2742" i="1"/>
  <c r="C2742" i="1"/>
  <c r="A2743" i="1"/>
  <c r="B2743" i="1"/>
  <c r="C2743" i="1"/>
  <c r="D2743" i="1"/>
  <c r="E2743" i="1"/>
  <c r="A2746" i="1"/>
  <c r="B2746" i="1"/>
  <c r="C2746" i="1"/>
  <c r="A2747" i="1"/>
  <c r="B2747" i="1"/>
  <c r="C2747" i="1"/>
  <c r="D2747" i="1"/>
  <c r="E2747" i="1"/>
  <c r="A2750" i="1"/>
  <c r="B2750" i="1"/>
  <c r="C2750" i="1"/>
  <c r="A2751" i="1"/>
  <c r="B2751" i="1"/>
  <c r="C2751" i="1"/>
  <c r="D2751" i="1"/>
  <c r="E2751" i="1"/>
  <c r="A2754" i="1"/>
  <c r="B2754" i="1"/>
  <c r="C2754" i="1"/>
  <c r="A2755" i="1"/>
  <c r="B2755" i="1"/>
  <c r="C2755" i="1"/>
  <c r="D2755" i="1"/>
  <c r="E2755" i="1"/>
  <c r="A2758" i="1"/>
  <c r="B2758" i="1"/>
  <c r="C2758" i="1"/>
  <c r="A2759" i="1"/>
  <c r="B2759" i="1"/>
  <c r="C2759" i="1"/>
  <c r="D2759" i="1"/>
  <c r="E2759" i="1"/>
  <c r="A2761" i="1"/>
  <c r="B2761" i="1"/>
  <c r="C2761" i="1"/>
  <c r="A2762" i="1"/>
  <c r="B2762" i="1"/>
  <c r="C2762" i="1"/>
  <c r="D2762" i="1"/>
  <c r="E2762" i="1"/>
  <c r="B2763" i="1"/>
  <c r="A2764" i="1"/>
  <c r="B2764" i="1"/>
  <c r="C2764" i="1"/>
  <c r="D2764" i="1"/>
  <c r="E2764" i="1"/>
  <c r="A2766" i="1"/>
  <c r="B2766" i="1"/>
  <c r="C2766" i="1"/>
  <c r="A2767" i="1"/>
  <c r="B2767" i="1"/>
  <c r="C2767" i="1"/>
  <c r="D2767" i="1"/>
  <c r="E2767" i="1"/>
  <c r="A2770" i="1"/>
  <c r="B2770" i="1"/>
  <c r="C2770" i="1"/>
  <c r="A2771" i="1"/>
  <c r="B2771" i="1"/>
  <c r="C2771" i="1"/>
  <c r="D2771" i="1"/>
  <c r="E2771" i="1"/>
  <c r="A2774" i="1"/>
  <c r="B2774" i="1"/>
  <c r="C2774" i="1"/>
  <c r="A2775" i="1"/>
  <c r="B2775" i="1"/>
  <c r="C2775" i="1"/>
  <c r="D2775" i="1"/>
  <c r="E2775" i="1"/>
  <c r="A2778" i="1"/>
  <c r="B2778" i="1"/>
  <c r="C2778" i="1"/>
  <c r="A2779" i="1"/>
  <c r="B2779" i="1"/>
  <c r="C2779" i="1"/>
  <c r="D2779" i="1"/>
  <c r="E2779" i="1"/>
  <c r="A2782" i="1"/>
  <c r="B2782" i="1"/>
  <c r="C2782" i="1"/>
  <c r="A2783" i="1"/>
  <c r="B2783" i="1"/>
  <c r="C2783" i="1"/>
  <c r="D2783" i="1"/>
  <c r="E2783" i="1"/>
  <c r="A2786" i="1"/>
  <c r="B2786" i="1"/>
  <c r="C2786" i="1"/>
  <c r="A2787" i="1"/>
  <c r="B2787" i="1"/>
  <c r="C2787" i="1"/>
  <c r="D2787" i="1"/>
  <c r="E2787" i="1"/>
  <c r="A2790" i="1"/>
  <c r="B2790" i="1"/>
  <c r="C2790" i="1"/>
  <c r="A2791" i="1"/>
  <c r="B2791" i="1"/>
  <c r="C2791" i="1"/>
  <c r="D2791" i="1"/>
  <c r="E2791" i="1"/>
  <c r="A2794" i="1"/>
  <c r="B2794" i="1"/>
  <c r="C2794" i="1"/>
  <c r="A2795" i="1"/>
  <c r="B2795" i="1"/>
  <c r="C2795" i="1"/>
  <c r="D2795" i="1"/>
  <c r="E2795" i="1"/>
  <c r="A2798" i="1"/>
  <c r="B2798" i="1"/>
  <c r="C2798" i="1"/>
  <c r="A2799" i="1"/>
  <c r="B2799" i="1"/>
  <c r="C2799" i="1"/>
  <c r="D2799" i="1"/>
  <c r="E2799" i="1"/>
  <c r="A2802" i="1"/>
  <c r="B2802" i="1"/>
  <c r="C2802" i="1"/>
  <c r="A2803" i="1"/>
  <c r="B2803" i="1"/>
  <c r="C2803" i="1"/>
  <c r="D2803" i="1"/>
  <c r="E2803" i="1"/>
  <c r="A2806" i="1"/>
  <c r="B2806" i="1"/>
  <c r="C2806" i="1"/>
  <c r="A2807" i="1"/>
  <c r="B2807" i="1"/>
  <c r="C2807" i="1"/>
  <c r="D2807" i="1"/>
  <c r="E2807" i="1"/>
  <c r="A2810" i="1"/>
  <c r="B2810" i="1"/>
  <c r="C2810" i="1"/>
  <c r="A2811" i="1"/>
  <c r="B2811" i="1"/>
  <c r="C2811" i="1"/>
  <c r="D2811" i="1"/>
  <c r="E2811" i="1"/>
  <c r="A2814" i="1"/>
  <c r="B2814" i="1"/>
  <c r="C2814" i="1"/>
  <c r="A2815" i="1"/>
  <c r="B2815" i="1"/>
  <c r="C2815" i="1"/>
  <c r="D2815" i="1"/>
  <c r="E2815" i="1"/>
  <c r="A2818" i="1"/>
  <c r="B2818" i="1"/>
  <c r="C2818" i="1"/>
  <c r="A2819" i="1"/>
  <c r="B2819" i="1"/>
  <c r="C2819" i="1"/>
  <c r="D2819" i="1"/>
  <c r="E2819" i="1"/>
  <c r="A2821" i="1"/>
  <c r="B2821" i="1"/>
  <c r="C2821" i="1"/>
  <c r="A2822" i="1"/>
  <c r="B2822" i="1"/>
  <c r="C2822" i="1"/>
  <c r="D2822" i="1"/>
  <c r="E2822" i="1"/>
  <c r="B2823" i="1"/>
  <c r="A2824" i="1"/>
  <c r="B2824" i="1"/>
  <c r="C2824" i="1"/>
  <c r="D2824" i="1"/>
  <c r="E2824" i="1"/>
  <c r="A2826" i="1"/>
  <c r="B2826" i="1"/>
  <c r="C2826" i="1"/>
  <c r="A2827" i="1"/>
  <c r="B2827" i="1"/>
  <c r="C2827" i="1"/>
  <c r="D2827" i="1"/>
  <c r="E2827" i="1"/>
  <c r="A2830" i="1"/>
  <c r="B2830" i="1"/>
  <c r="C2830" i="1"/>
  <c r="A2831" i="1"/>
  <c r="B2831" i="1"/>
  <c r="C2831" i="1"/>
  <c r="D2831" i="1"/>
  <c r="E2831" i="1"/>
  <c r="A2834" i="1"/>
  <c r="B2834" i="1"/>
  <c r="C2834" i="1"/>
  <c r="A2835" i="1"/>
  <c r="B2835" i="1"/>
  <c r="C2835" i="1"/>
  <c r="D2835" i="1"/>
  <c r="E2835" i="1"/>
  <c r="A2838" i="1"/>
  <c r="B2838" i="1"/>
  <c r="C2838" i="1"/>
  <c r="A2839" i="1"/>
  <c r="B2839" i="1"/>
  <c r="C2839" i="1"/>
  <c r="D2839" i="1"/>
  <c r="E2839" i="1"/>
  <c r="A2842" i="1"/>
  <c r="B2842" i="1"/>
  <c r="C2842" i="1"/>
  <c r="A2843" i="1"/>
  <c r="B2843" i="1"/>
  <c r="C2843" i="1"/>
  <c r="D2843" i="1"/>
  <c r="E2843" i="1"/>
  <c r="A2846" i="1"/>
  <c r="B2846" i="1"/>
  <c r="C2846" i="1"/>
  <c r="A2847" i="1"/>
  <c r="B2847" i="1"/>
  <c r="C2847" i="1"/>
  <c r="D2847" i="1"/>
  <c r="E2847" i="1"/>
  <c r="A2850" i="1"/>
  <c r="B2850" i="1"/>
  <c r="C2850" i="1"/>
  <c r="A2851" i="1"/>
  <c r="B2851" i="1"/>
  <c r="C2851" i="1"/>
  <c r="D2851" i="1"/>
  <c r="E2851" i="1"/>
  <c r="A2854" i="1"/>
  <c r="B2854" i="1"/>
  <c r="C2854" i="1"/>
  <c r="A2855" i="1"/>
  <c r="B2855" i="1"/>
  <c r="C2855" i="1"/>
  <c r="D2855" i="1"/>
  <c r="E2855" i="1"/>
  <c r="A2858" i="1"/>
  <c r="B2858" i="1"/>
  <c r="C2858" i="1"/>
  <c r="A2859" i="1"/>
  <c r="B2859" i="1"/>
  <c r="C2859" i="1"/>
  <c r="D2859" i="1"/>
  <c r="E2859" i="1"/>
  <c r="A2862" i="1"/>
  <c r="B2862" i="1"/>
  <c r="C2862" i="1"/>
  <c r="A2863" i="1"/>
  <c r="B2863" i="1"/>
  <c r="C2863" i="1"/>
  <c r="D2863" i="1"/>
  <c r="E2863" i="1"/>
  <c r="A2866" i="1"/>
  <c r="B2866" i="1"/>
  <c r="C2866" i="1"/>
  <c r="A2867" i="1"/>
  <c r="B2867" i="1"/>
  <c r="C2867" i="1"/>
  <c r="D2867" i="1"/>
  <c r="E2867" i="1"/>
  <c r="A2870" i="1"/>
  <c r="B2870" i="1"/>
  <c r="C2870" i="1"/>
  <c r="A2871" i="1"/>
  <c r="B2871" i="1"/>
  <c r="C2871" i="1"/>
  <c r="D2871" i="1"/>
  <c r="E2871" i="1"/>
  <c r="A2874" i="1"/>
  <c r="B2874" i="1"/>
  <c r="C2874" i="1"/>
  <c r="A2875" i="1"/>
  <c r="B2875" i="1"/>
  <c r="C2875" i="1"/>
  <c r="D2875" i="1"/>
  <c r="E2875" i="1"/>
  <c r="A2878" i="1"/>
  <c r="B2878" i="1"/>
  <c r="C2878" i="1"/>
  <c r="A2879" i="1"/>
  <c r="B2879" i="1"/>
  <c r="C2879" i="1"/>
  <c r="D2879" i="1"/>
  <c r="E2879" i="1"/>
  <c r="A2881" i="1"/>
  <c r="B2881" i="1"/>
  <c r="C2881" i="1"/>
  <c r="A2882" i="1"/>
  <c r="B2882" i="1"/>
  <c r="C2882" i="1"/>
  <c r="D2882" i="1"/>
  <c r="E2882" i="1"/>
  <c r="B2883" i="1"/>
  <c r="A2884" i="1"/>
  <c r="B2884" i="1"/>
  <c r="C2884" i="1"/>
  <c r="D2884" i="1"/>
  <c r="E2884" i="1"/>
  <c r="A2886" i="1"/>
  <c r="B2886" i="1"/>
  <c r="C2886" i="1"/>
  <c r="A2887" i="1"/>
  <c r="B2887" i="1"/>
  <c r="C2887" i="1"/>
  <c r="D2887" i="1"/>
  <c r="E2887" i="1"/>
  <c r="A2890" i="1"/>
  <c r="B2890" i="1"/>
  <c r="C2890" i="1"/>
  <c r="A2891" i="1"/>
  <c r="B2891" i="1"/>
  <c r="C2891" i="1"/>
  <c r="D2891" i="1"/>
  <c r="E2891" i="1"/>
  <c r="A2894" i="1"/>
  <c r="B2894" i="1"/>
  <c r="C2894" i="1"/>
  <c r="A2895" i="1"/>
  <c r="B2895" i="1"/>
  <c r="C2895" i="1"/>
  <c r="D2895" i="1"/>
  <c r="E2895" i="1"/>
  <c r="A2898" i="1"/>
  <c r="B2898" i="1"/>
  <c r="C2898" i="1"/>
  <c r="A2899" i="1"/>
  <c r="B2899" i="1"/>
  <c r="C2899" i="1"/>
  <c r="D2899" i="1"/>
  <c r="E2899" i="1"/>
  <c r="A2902" i="1"/>
  <c r="B2902" i="1"/>
  <c r="C2902" i="1"/>
  <c r="A2903" i="1"/>
  <c r="B2903" i="1"/>
  <c r="C2903" i="1"/>
  <c r="D2903" i="1"/>
  <c r="E2903" i="1"/>
  <c r="A2906" i="1"/>
  <c r="B2906" i="1"/>
  <c r="C2906" i="1"/>
  <c r="A2907" i="1"/>
  <c r="B2907" i="1"/>
  <c r="C2907" i="1"/>
  <c r="D2907" i="1"/>
  <c r="E2907" i="1"/>
  <c r="A2910" i="1"/>
  <c r="B2910" i="1"/>
  <c r="C2910" i="1"/>
  <c r="A2911" i="1"/>
  <c r="B2911" i="1"/>
  <c r="C2911" i="1"/>
  <c r="D2911" i="1"/>
  <c r="E2911" i="1"/>
  <c r="A2914" i="1"/>
  <c r="B2914" i="1"/>
  <c r="C2914" i="1"/>
  <c r="A2915" i="1"/>
  <c r="B2915" i="1"/>
  <c r="C2915" i="1"/>
  <c r="D2915" i="1"/>
  <c r="E2915" i="1"/>
  <c r="A2918" i="1"/>
  <c r="B2918" i="1"/>
  <c r="C2918" i="1"/>
  <c r="A2919" i="1"/>
  <c r="B2919" i="1"/>
  <c r="C2919" i="1"/>
  <c r="D2919" i="1"/>
  <c r="E2919" i="1"/>
  <c r="A2922" i="1"/>
  <c r="B2922" i="1"/>
  <c r="C2922" i="1"/>
  <c r="A2923" i="1"/>
  <c r="B2923" i="1"/>
  <c r="C2923" i="1"/>
  <c r="D2923" i="1"/>
  <c r="E2923" i="1"/>
  <c r="A2926" i="1"/>
  <c r="B2926" i="1"/>
  <c r="C2926" i="1"/>
  <c r="A2927" i="1"/>
  <c r="B2927" i="1"/>
  <c r="C2927" i="1"/>
  <c r="D2927" i="1"/>
  <c r="E2927" i="1"/>
  <c r="A2930" i="1"/>
  <c r="B2930" i="1"/>
  <c r="C2930" i="1"/>
  <c r="A2931" i="1"/>
  <c r="B2931" i="1"/>
  <c r="C2931" i="1"/>
  <c r="D2931" i="1"/>
  <c r="E2931" i="1"/>
  <c r="A2934" i="1"/>
  <c r="B2934" i="1"/>
  <c r="C2934" i="1"/>
  <c r="A2935" i="1"/>
  <c r="B2935" i="1"/>
  <c r="C2935" i="1"/>
  <c r="D2935" i="1"/>
  <c r="E2935" i="1"/>
  <c r="A2938" i="1"/>
  <c r="B2938" i="1"/>
  <c r="C2938" i="1"/>
  <c r="A2939" i="1"/>
  <c r="B2939" i="1"/>
  <c r="C2939" i="1"/>
  <c r="D2939" i="1"/>
  <c r="E2939" i="1"/>
  <c r="A2941" i="1"/>
  <c r="B2941" i="1"/>
  <c r="C2941" i="1"/>
  <c r="A2942" i="1"/>
  <c r="B2942" i="1"/>
  <c r="C2942" i="1"/>
  <c r="D2942" i="1"/>
  <c r="E2942" i="1"/>
  <c r="B2943" i="1"/>
  <c r="A2944" i="1"/>
  <c r="B2944" i="1"/>
  <c r="C2944" i="1"/>
  <c r="D2944" i="1"/>
  <c r="E2944" i="1"/>
  <c r="A2946" i="1"/>
  <c r="B2946" i="1"/>
  <c r="C2946" i="1"/>
  <c r="A2947" i="1"/>
  <c r="B2947" i="1"/>
  <c r="C2947" i="1"/>
  <c r="D2947" i="1"/>
  <c r="E2947" i="1"/>
  <c r="A2950" i="1"/>
  <c r="B2950" i="1"/>
  <c r="C2950" i="1"/>
  <c r="A2951" i="1"/>
  <c r="B2951" i="1"/>
  <c r="C2951" i="1"/>
  <c r="D2951" i="1"/>
  <c r="E2951" i="1"/>
  <c r="A2954" i="1"/>
  <c r="B2954" i="1"/>
  <c r="C2954" i="1"/>
  <c r="A2955" i="1"/>
  <c r="B2955" i="1"/>
  <c r="C2955" i="1"/>
  <c r="D2955" i="1"/>
  <c r="E2955" i="1"/>
  <c r="A2958" i="1"/>
  <c r="B2958" i="1"/>
  <c r="C2958" i="1"/>
  <c r="A2959" i="1"/>
  <c r="B2959" i="1"/>
  <c r="C2959" i="1"/>
  <c r="D2959" i="1"/>
  <c r="E2959" i="1"/>
  <c r="A2962" i="1"/>
  <c r="B2962" i="1"/>
  <c r="C2962" i="1"/>
  <c r="A2963" i="1"/>
  <c r="B2963" i="1"/>
  <c r="C2963" i="1"/>
  <c r="D2963" i="1"/>
  <c r="E2963" i="1"/>
  <c r="A2966" i="1"/>
  <c r="B2966" i="1"/>
  <c r="C2966" i="1"/>
  <c r="A2967" i="1"/>
  <c r="B2967" i="1"/>
  <c r="C2967" i="1"/>
  <c r="D2967" i="1"/>
  <c r="E2967" i="1"/>
  <c r="A2970" i="1"/>
  <c r="B2970" i="1"/>
  <c r="C2970" i="1"/>
  <c r="A2971" i="1"/>
  <c r="B2971" i="1"/>
  <c r="C2971" i="1"/>
  <c r="D2971" i="1"/>
  <c r="E2971" i="1"/>
  <c r="A2974" i="1"/>
  <c r="B2974" i="1"/>
  <c r="C2974" i="1"/>
  <c r="A2975" i="1"/>
  <c r="B2975" i="1"/>
  <c r="C2975" i="1"/>
  <c r="D2975" i="1"/>
  <c r="E2975" i="1"/>
  <c r="A2978" i="1"/>
  <c r="B2978" i="1"/>
  <c r="C2978" i="1"/>
  <c r="A2979" i="1"/>
  <c r="B2979" i="1"/>
  <c r="C2979" i="1"/>
  <c r="D2979" i="1"/>
  <c r="E2979" i="1"/>
  <c r="A2982" i="1"/>
  <c r="B2982" i="1"/>
  <c r="C2982" i="1"/>
  <c r="A2983" i="1"/>
  <c r="B2983" i="1"/>
  <c r="C2983" i="1"/>
  <c r="D2983" i="1"/>
  <c r="E2983" i="1"/>
  <c r="A2986" i="1"/>
  <c r="B2986" i="1"/>
  <c r="C2986" i="1"/>
  <c r="A2987" i="1"/>
  <c r="B2987" i="1"/>
  <c r="C2987" i="1"/>
  <c r="D2987" i="1"/>
  <c r="E2987" i="1"/>
  <c r="A2990" i="1"/>
  <c r="B2990" i="1"/>
  <c r="C2990" i="1"/>
  <c r="A2991" i="1"/>
  <c r="B2991" i="1"/>
  <c r="C2991" i="1"/>
  <c r="D2991" i="1"/>
  <c r="E2991" i="1"/>
  <c r="A2994" i="1"/>
  <c r="B2994" i="1"/>
  <c r="C2994" i="1"/>
  <c r="A2995" i="1"/>
  <c r="B2995" i="1"/>
  <c r="C2995" i="1"/>
  <c r="D2995" i="1"/>
  <c r="E2995" i="1"/>
  <c r="A2998" i="1"/>
  <c r="B2998" i="1"/>
  <c r="C2998" i="1"/>
  <c r="A2999" i="1"/>
  <c r="B2999" i="1"/>
  <c r="C2999" i="1"/>
  <c r="D2999" i="1"/>
  <c r="E2999" i="1"/>
  <c r="A3001" i="1"/>
  <c r="B3001" i="1"/>
  <c r="C3001" i="1"/>
  <c r="A3002" i="1"/>
  <c r="B3002" i="1"/>
  <c r="C3002" i="1"/>
  <c r="D3002" i="1"/>
  <c r="E3002" i="1"/>
  <c r="B3003" i="1"/>
  <c r="A3004" i="1"/>
  <c r="B3004" i="1"/>
  <c r="C3004" i="1"/>
  <c r="D3004" i="1"/>
  <c r="E3004" i="1"/>
  <c r="A3006" i="1"/>
  <c r="B3006" i="1"/>
  <c r="C3006" i="1"/>
  <c r="A3007" i="1"/>
  <c r="B3007" i="1"/>
  <c r="C3007" i="1"/>
  <c r="D3007" i="1"/>
  <c r="E3007" i="1"/>
  <c r="A3010" i="1"/>
  <c r="B3010" i="1"/>
  <c r="C3010" i="1"/>
  <c r="A3011" i="1"/>
  <c r="B3011" i="1"/>
  <c r="C3011" i="1"/>
  <c r="D3011" i="1"/>
  <c r="E3011" i="1"/>
  <c r="A3014" i="1"/>
  <c r="B3014" i="1"/>
  <c r="C3014" i="1"/>
  <c r="A3015" i="1"/>
  <c r="B3015" i="1"/>
  <c r="C3015" i="1"/>
  <c r="D3015" i="1"/>
  <c r="E3015" i="1"/>
  <c r="A3018" i="1"/>
  <c r="B3018" i="1"/>
  <c r="C3018" i="1"/>
  <c r="A3019" i="1"/>
  <c r="B3019" i="1"/>
  <c r="C3019" i="1"/>
  <c r="D3019" i="1"/>
  <c r="E3019" i="1"/>
  <c r="A3022" i="1"/>
  <c r="B3022" i="1"/>
  <c r="C3022" i="1"/>
  <c r="A3023" i="1"/>
  <c r="B3023" i="1"/>
  <c r="C3023" i="1"/>
  <c r="D3023" i="1"/>
  <c r="E3023" i="1"/>
  <c r="A3026" i="1"/>
  <c r="B3026" i="1"/>
  <c r="C3026" i="1"/>
  <c r="A3027" i="1"/>
  <c r="B3027" i="1"/>
  <c r="C3027" i="1"/>
  <c r="D3027" i="1"/>
  <c r="E3027" i="1"/>
  <c r="A3030" i="1"/>
  <c r="B3030" i="1"/>
  <c r="C3030" i="1"/>
  <c r="A3031" i="1"/>
  <c r="B3031" i="1"/>
  <c r="C3031" i="1"/>
  <c r="D3031" i="1"/>
  <c r="E3031" i="1"/>
  <c r="A3034" i="1"/>
  <c r="B3034" i="1"/>
  <c r="C3034" i="1"/>
  <c r="A3035" i="1"/>
  <c r="B3035" i="1"/>
  <c r="C3035" i="1"/>
  <c r="D3035" i="1"/>
  <c r="E3035" i="1"/>
  <c r="A3038" i="1"/>
  <c r="B3038" i="1"/>
  <c r="C3038" i="1"/>
  <c r="A3039" i="1"/>
  <c r="B3039" i="1"/>
  <c r="C3039" i="1"/>
  <c r="D3039" i="1"/>
  <c r="E3039" i="1"/>
  <c r="A3042" i="1"/>
  <c r="B3042" i="1"/>
  <c r="C3042" i="1"/>
  <c r="A3043" i="1"/>
  <c r="B3043" i="1"/>
  <c r="C3043" i="1"/>
  <c r="D3043" i="1"/>
  <c r="E3043" i="1"/>
  <c r="A3046" i="1"/>
  <c r="B3046" i="1"/>
  <c r="C3046" i="1"/>
  <c r="A3047" i="1"/>
  <c r="B3047" i="1"/>
  <c r="C3047" i="1"/>
  <c r="D3047" i="1"/>
  <c r="E3047" i="1"/>
  <c r="A3050" i="1"/>
  <c r="B3050" i="1"/>
  <c r="C3050" i="1"/>
  <c r="A3051" i="1"/>
  <c r="B3051" i="1"/>
  <c r="C3051" i="1"/>
  <c r="D3051" i="1"/>
  <c r="E3051" i="1"/>
  <c r="A3054" i="1"/>
  <c r="B3054" i="1"/>
  <c r="C3054" i="1"/>
  <c r="A3055" i="1"/>
  <c r="B3055" i="1"/>
  <c r="C3055" i="1"/>
  <c r="D3055" i="1"/>
  <c r="E3055" i="1"/>
  <c r="A3058" i="1"/>
  <c r="B3058" i="1"/>
  <c r="C3058" i="1"/>
  <c r="A3059" i="1"/>
  <c r="B3059" i="1"/>
  <c r="C3059" i="1"/>
  <c r="D3059" i="1"/>
  <c r="E3059" i="1"/>
  <c r="A3061" i="1"/>
  <c r="B3061" i="1"/>
  <c r="C3061" i="1"/>
  <c r="A3062" i="1"/>
  <c r="B3062" i="1"/>
  <c r="C3062" i="1"/>
  <c r="D3062" i="1"/>
  <c r="E3062" i="1"/>
  <c r="B3063" i="1"/>
  <c r="A3064" i="1"/>
  <c r="B3064" i="1"/>
  <c r="C3064" i="1"/>
  <c r="D3064" i="1"/>
  <c r="E3064" i="1"/>
  <c r="A3066" i="1"/>
  <c r="B3066" i="1"/>
  <c r="C3066" i="1"/>
  <c r="A3067" i="1"/>
  <c r="B3067" i="1"/>
  <c r="C3067" i="1"/>
  <c r="D3067" i="1"/>
  <c r="E3067" i="1"/>
  <c r="A3070" i="1"/>
  <c r="B3070" i="1"/>
  <c r="C3070" i="1"/>
  <c r="A3071" i="1"/>
  <c r="B3071" i="1"/>
  <c r="C3071" i="1"/>
  <c r="D3071" i="1"/>
  <c r="E3071" i="1"/>
  <c r="A3074" i="1"/>
  <c r="B3074" i="1"/>
  <c r="C3074" i="1"/>
  <c r="A3075" i="1"/>
  <c r="B3075" i="1"/>
  <c r="C3075" i="1"/>
  <c r="D3075" i="1"/>
  <c r="E3075" i="1"/>
  <c r="A3078" i="1"/>
  <c r="B3078" i="1"/>
  <c r="C3078" i="1"/>
  <c r="A3079" i="1"/>
  <c r="B3079" i="1"/>
  <c r="C3079" i="1"/>
  <c r="D3079" i="1"/>
  <c r="E3079" i="1"/>
  <c r="A3082" i="1"/>
  <c r="B3082" i="1"/>
  <c r="C3082" i="1"/>
  <c r="A3083" i="1"/>
  <c r="B3083" i="1"/>
  <c r="C3083" i="1"/>
  <c r="D3083" i="1"/>
  <c r="E3083" i="1"/>
  <c r="A3086" i="1"/>
  <c r="B3086" i="1"/>
  <c r="C3086" i="1"/>
  <c r="A3087" i="1"/>
  <c r="B3087" i="1"/>
  <c r="C3087" i="1"/>
  <c r="D3087" i="1"/>
  <c r="E3087" i="1"/>
  <c r="A3090" i="1"/>
  <c r="B3090" i="1"/>
  <c r="C3090" i="1"/>
  <c r="A3091" i="1"/>
  <c r="B3091" i="1"/>
  <c r="C3091" i="1"/>
  <c r="D3091" i="1"/>
  <c r="E3091" i="1"/>
  <c r="A3094" i="1"/>
  <c r="B3094" i="1"/>
  <c r="C3094" i="1"/>
  <c r="A3095" i="1"/>
  <c r="B3095" i="1"/>
  <c r="C3095" i="1"/>
  <c r="D3095" i="1"/>
  <c r="E3095" i="1"/>
  <c r="A3098" i="1"/>
  <c r="B3098" i="1"/>
  <c r="C3098" i="1"/>
  <c r="A3099" i="1"/>
  <c r="B3099" i="1"/>
  <c r="C3099" i="1"/>
  <c r="D3099" i="1"/>
  <c r="E3099" i="1"/>
  <c r="A3102" i="1"/>
  <c r="B3102" i="1"/>
  <c r="C3102" i="1"/>
  <c r="A3103" i="1"/>
  <c r="B3103" i="1"/>
  <c r="C3103" i="1"/>
  <c r="D3103" i="1"/>
  <c r="E3103" i="1"/>
  <c r="A3106" i="1"/>
  <c r="B3106" i="1"/>
  <c r="C3106" i="1"/>
  <c r="A3107" i="1"/>
  <c r="B3107" i="1"/>
  <c r="C3107" i="1"/>
  <c r="D3107" i="1"/>
  <c r="E3107" i="1"/>
  <c r="A3110" i="1"/>
  <c r="B3110" i="1"/>
  <c r="C3110" i="1"/>
  <c r="A3111" i="1"/>
  <c r="B3111" i="1"/>
  <c r="C3111" i="1"/>
  <c r="D3111" i="1"/>
  <c r="E3111" i="1"/>
  <c r="A3114" i="1"/>
  <c r="B3114" i="1"/>
  <c r="C3114" i="1"/>
  <c r="A3115" i="1"/>
  <c r="B3115" i="1"/>
  <c r="C3115" i="1"/>
  <c r="D3115" i="1"/>
  <c r="E3115" i="1"/>
  <c r="A3118" i="1"/>
  <c r="B3118" i="1"/>
  <c r="C3118" i="1"/>
  <c r="A3119" i="1"/>
  <c r="B3119" i="1"/>
  <c r="C3119" i="1"/>
  <c r="D3119" i="1"/>
  <c r="E3119" i="1"/>
  <c r="A3121" i="1"/>
  <c r="B3121" i="1"/>
  <c r="C3121" i="1"/>
  <c r="A3122" i="1"/>
  <c r="B3122" i="1"/>
  <c r="C3122" i="1"/>
  <c r="D3122" i="1"/>
  <c r="E3122" i="1"/>
  <c r="B3123" i="1"/>
  <c r="A3124" i="1"/>
  <c r="B3124" i="1"/>
  <c r="C3124" i="1"/>
  <c r="D3124" i="1"/>
  <c r="E3124" i="1"/>
  <c r="A3126" i="1"/>
  <c r="B3126" i="1"/>
  <c r="C3126" i="1"/>
  <c r="A3127" i="1"/>
  <c r="B3127" i="1"/>
  <c r="C3127" i="1"/>
  <c r="D3127" i="1"/>
  <c r="E3127" i="1"/>
  <c r="A3130" i="1"/>
  <c r="B3130" i="1"/>
  <c r="C3130" i="1"/>
  <c r="A3131" i="1"/>
  <c r="B3131" i="1"/>
  <c r="C3131" i="1"/>
  <c r="D3131" i="1"/>
  <c r="E3131" i="1"/>
  <c r="A3134" i="1"/>
  <c r="B3134" i="1"/>
  <c r="C3134" i="1"/>
  <c r="A3135" i="1"/>
  <c r="B3135" i="1"/>
  <c r="C3135" i="1"/>
  <c r="D3135" i="1"/>
  <c r="E3135" i="1"/>
  <c r="A3138" i="1"/>
  <c r="B3138" i="1"/>
  <c r="C3138" i="1"/>
  <c r="A3139" i="1"/>
  <c r="B3139" i="1"/>
  <c r="C3139" i="1"/>
  <c r="D3139" i="1"/>
  <c r="E3139" i="1"/>
  <c r="A3142" i="1"/>
  <c r="B3142" i="1"/>
  <c r="C3142" i="1"/>
  <c r="A3143" i="1"/>
  <c r="B3143" i="1"/>
  <c r="C3143" i="1"/>
  <c r="D3143" i="1"/>
  <c r="E3143" i="1"/>
  <c r="A3146" i="1"/>
  <c r="B3146" i="1"/>
  <c r="C3146" i="1"/>
  <c r="A3147" i="1"/>
  <c r="B3147" i="1"/>
  <c r="C3147" i="1"/>
  <c r="D3147" i="1"/>
  <c r="E3147" i="1"/>
  <c r="A3150" i="1"/>
  <c r="B3150" i="1"/>
  <c r="C3150" i="1"/>
  <c r="A3151" i="1"/>
  <c r="B3151" i="1"/>
  <c r="C3151" i="1"/>
  <c r="D3151" i="1"/>
  <c r="E3151" i="1"/>
  <c r="A3154" i="1"/>
  <c r="B3154" i="1"/>
  <c r="C3154" i="1"/>
  <c r="A3155" i="1"/>
  <c r="B3155" i="1"/>
  <c r="C3155" i="1"/>
  <c r="D3155" i="1"/>
  <c r="E3155" i="1"/>
  <c r="A3158" i="1"/>
  <c r="B3158" i="1"/>
  <c r="C3158" i="1"/>
  <c r="A3159" i="1"/>
  <c r="B3159" i="1"/>
  <c r="C3159" i="1"/>
  <c r="D3159" i="1"/>
  <c r="E3159" i="1"/>
  <c r="A3162" i="1"/>
  <c r="B3162" i="1"/>
  <c r="C3162" i="1"/>
  <c r="A3163" i="1"/>
  <c r="B3163" i="1"/>
  <c r="C3163" i="1"/>
  <c r="D3163" i="1"/>
  <c r="E3163" i="1"/>
  <c r="A3166" i="1"/>
  <c r="B3166" i="1"/>
  <c r="C3166" i="1"/>
  <c r="A3167" i="1"/>
  <c r="B3167" i="1"/>
  <c r="C3167" i="1"/>
  <c r="D3167" i="1"/>
  <c r="E3167" i="1"/>
  <c r="A3170" i="1"/>
  <c r="B3170" i="1"/>
  <c r="C3170" i="1"/>
  <c r="A3171" i="1"/>
  <c r="B3171" i="1"/>
  <c r="C3171" i="1"/>
  <c r="D3171" i="1"/>
  <c r="E3171" i="1"/>
  <c r="A3174" i="1"/>
  <c r="B3174" i="1"/>
  <c r="C3174" i="1"/>
  <c r="A3175" i="1"/>
  <c r="B3175" i="1"/>
  <c r="C3175" i="1"/>
  <c r="D3175" i="1"/>
  <c r="E3175" i="1"/>
  <c r="A3178" i="1"/>
  <c r="B3178" i="1"/>
  <c r="C3178" i="1"/>
  <c r="A3179" i="1"/>
  <c r="B3179" i="1"/>
  <c r="C3179" i="1"/>
  <c r="D3179" i="1"/>
  <c r="E3179" i="1"/>
  <c r="A3181" i="1"/>
  <c r="B3181" i="1"/>
  <c r="C3181" i="1"/>
  <c r="A3182" i="1"/>
  <c r="B3182" i="1"/>
  <c r="C3182" i="1"/>
  <c r="D3182" i="1"/>
  <c r="E3182" i="1"/>
  <c r="B3183" i="1"/>
  <c r="A3184" i="1"/>
  <c r="B3184" i="1"/>
  <c r="C3184" i="1"/>
  <c r="D3184" i="1"/>
  <c r="E3184" i="1"/>
  <c r="A3186" i="1"/>
  <c r="B3186" i="1"/>
  <c r="C3186" i="1"/>
  <c r="A3187" i="1"/>
  <c r="B3187" i="1"/>
  <c r="C3187" i="1"/>
  <c r="D3187" i="1"/>
  <c r="E3187" i="1"/>
  <c r="A3190" i="1"/>
  <c r="B3190" i="1"/>
  <c r="C3190" i="1"/>
  <c r="A3191" i="1"/>
  <c r="B3191" i="1"/>
  <c r="C3191" i="1"/>
  <c r="D3191" i="1"/>
  <c r="E3191" i="1"/>
  <c r="A3194" i="1"/>
  <c r="B3194" i="1"/>
  <c r="C3194" i="1"/>
  <c r="A3195" i="1"/>
  <c r="B3195" i="1"/>
  <c r="C3195" i="1"/>
  <c r="D3195" i="1"/>
  <c r="E3195" i="1"/>
  <c r="A3198" i="1"/>
  <c r="B3198" i="1"/>
  <c r="C3198" i="1"/>
  <c r="A3199" i="1"/>
  <c r="B3199" i="1"/>
  <c r="C3199" i="1"/>
  <c r="D3199" i="1"/>
  <c r="E3199" i="1"/>
  <c r="A3202" i="1"/>
  <c r="B3202" i="1"/>
  <c r="C3202" i="1"/>
  <c r="A3203" i="1"/>
  <c r="B3203" i="1"/>
  <c r="C3203" i="1"/>
  <c r="D3203" i="1"/>
  <c r="E3203" i="1"/>
  <c r="A3206" i="1"/>
  <c r="B3206" i="1"/>
  <c r="C3206" i="1"/>
  <c r="A3207" i="1"/>
  <c r="B3207" i="1"/>
  <c r="C3207" i="1"/>
  <c r="D3207" i="1"/>
  <c r="E3207" i="1"/>
  <c r="A3210" i="1"/>
  <c r="B3210" i="1"/>
  <c r="C3210" i="1"/>
  <c r="A3211" i="1"/>
  <c r="B3211" i="1"/>
  <c r="C3211" i="1"/>
  <c r="D3211" i="1"/>
  <c r="E3211" i="1"/>
  <c r="A3214" i="1"/>
  <c r="B3214" i="1"/>
  <c r="C3214" i="1"/>
  <c r="A3215" i="1"/>
  <c r="B3215" i="1"/>
  <c r="C3215" i="1"/>
  <c r="D3215" i="1"/>
  <c r="E3215" i="1"/>
  <c r="A3218" i="1"/>
  <c r="B3218" i="1"/>
  <c r="C3218" i="1"/>
  <c r="A3219" i="1"/>
  <c r="B3219" i="1"/>
  <c r="C3219" i="1"/>
  <c r="D3219" i="1"/>
  <c r="E3219" i="1"/>
  <c r="A3222" i="1"/>
  <c r="B3222" i="1"/>
  <c r="C3222" i="1"/>
  <c r="A3223" i="1"/>
  <c r="B3223" i="1"/>
  <c r="C3223" i="1"/>
  <c r="D3223" i="1"/>
  <c r="E3223" i="1"/>
  <c r="A3226" i="1"/>
  <c r="B3226" i="1"/>
  <c r="C3226" i="1"/>
  <c r="A3227" i="1"/>
  <c r="B3227" i="1"/>
  <c r="C3227" i="1"/>
  <c r="D3227" i="1"/>
  <c r="E3227" i="1"/>
  <c r="A3230" i="1"/>
  <c r="B3230" i="1"/>
  <c r="C3230" i="1"/>
  <c r="A3231" i="1"/>
  <c r="B3231" i="1"/>
  <c r="C3231" i="1"/>
  <c r="D3231" i="1"/>
  <c r="E3231" i="1"/>
  <c r="A3234" i="1"/>
  <c r="B3234" i="1"/>
  <c r="C3234" i="1"/>
  <c r="A3235" i="1"/>
  <c r="B3235" i="1"/>
  <c r="C3235" i="1"/>
  <c r="D3235" i="1"/>
  <c r="E3235" i="1"/>
  <c r="A3238" i="1"/>
  <c r="B3238" i="1"/>
  <c r="C3238" i="1"/>
  <c r="A3239" i="1"/>
  <c r="B3239" i="1"/>
  <c r="C3239" i="1"/>
  <c r="D3239" i="1"/>
  <c r="E3239" i="1"/>
  <c r="A3241" i="1"/>
  <c r="B3241" i="1"/>
  <c r="C3241" i="1"/>
  <c r="A3242" i="1"/>
  <c r="B3242" i="1"/>
  <c r="C3242" i="1"/>
  <c r="D3242" i="1"/>
  <c r="E3242" i="1"/>
  <c r="B3243" i="1"/>
  <c r="A3244" i="1"/>
  <c r="B3244" i="1"/>
  <c r="C3244" i="1"/>
  <c r="D3244" i="1"/>
  <c r="E3244" i="1"/>
  <c r="A3246" i="1"/>
  <c r="B3246" i="1"/>
  <c r="C3246" i="1"/>
  <c r="A3247" i="1"/>
  <c r="B3247" i="1"/>
  <c r="C3247" i="1"/>
  <c r="D3247" i="1"/>
  <c r="E3247" i="1"/>
  <c r="A3250" i="1"/>
  <c r="B3250" i="1"/>
  <c r="C3250" i="1"/>
  <c r="A3251" i="1"/>
  <c r="B3251" i="1"/>
  <c r="C3251" i="1"/>
  <c r="D3251" i="1"/>
  <c r="E3251" i="1"/>
  <c r="A3254" i="1"/>
  <c r="B3254" i="1"/>
  <c r="C3254" i="1"/>
  <c r="A3255" i="1"/>
  <c r="B3255" i="1"/>
  <c r="C3255" i="1"/>
  <c r="D3255" i="1"/>
  <c r="E3255" i="1"/>
  <c r="A3258" i="1"/>
  <c r="B3258" i="1"/>
  <c r="C3258" i="1"/>
  <c r="A3259" i="1"/>
  <c r="B3259" i="1"/>
  <c r="C3259" i="1"/>
  <c r="D3259" i="1"/>
  <c r="E3259" i="1"/>
  <c r="A3262" i="1"/>
  <c r="B3262" i="1"/>
  <c r="C3262" i="1"/>
  <c r="A3263" i="1"/>
  <c r="B3263" i="1"/>
  <c r="C3263" i="1"/>
  <c r="D3263" i="1"/>
  <c r="E3263" i="1"/>
  <c r="A3266" i="1"/>
  <c r="B3266" i="1"/>
  <c r="C3266" i="1"/>
  <c r="A3267" i="1"/>
  <c r="B3267" i="1"/>
  <c r="C3267" i="1"/>
  <c r="D3267" i="1"/>
  <c r="E3267" i="1"/>
  <c r="A3270" i="1"/>
  <c r="B3270" i="1"/>
  <c r="C3270" i="1"/>
  <c r="A3271" i="1"/>
  <c r="B3271" i="1"/>
  <c r="C3271" i="1"/>
  <c r="D3271" i="1"/>
  <c r="E3271" i="1"/>
  <c r="A3274" i="1"/>
  <c r="B3274" i="1"/>
  <c r="C3274" i="1"/>
  <c r="A3275" i="1"/>
  <c r="B3275" i="1"/>
  <c r="C3275" i="1"/>
  <c r="D3275" i="1"/>
  <c r="E3275" i="1"/>
  <c r="A3278" i="1"/>
  <c r="B3278" i="1"/>
  <c r="C3278" i="1"/>
  <c r="A3279" i="1"/>
  <c r="B3279" i="1"/>
  <c r="C3279" i="1"/>
  <c r="D3279" i="1"/>
  <c r="E3279" i="1"/>
  <c r="A3282" i="1"/>
  <c r="B3282" i="1"/>
  <c r="C3282" i="1"/>
  <c r="A3283" i="1"/>
  <c r="B3283" i="1"/>
  <c r="C3283" i="1"/>
  <c r="D3283" i="1"/>
  <c r="E3283" i="1"/>
  <c r="A3286" i="1"/>
  <c r="B3286" i="1"/>
  <c r="C3286" i="1"/>
  <c r="A3287" i="1"/>
  <c r="B3287" i="1"/>
  <c r="C3287" i="1"/>
  <c r="D3287" i="1"/>
  <c r="E3287" i="1"/>
  <c r="A3290" i="1"/>
  <c r="B3290" i="1"/>
  <c r="C3290" i="1"/>
  <c r="A3291" i="1"/>
  <c r="B3291" i="1"/>
  <c r="C3291" i="1"/>
  <c r="D3291" i="1"/>
  <c r="E3291" i="1"/>
  <c r="A3294" i="1"/>
  <c r="B3294" i="1"/>
  <c r="C3294" i="1"/>
  <c r="A3295" i="1"/>
  <c r="B3295" i="1"/>
  <c r="C3295" i="1"/>
  <c r="D3295" i="1"/>
  <c r="E3295" i="1"/>
  <c r="A3298" i="1"/>
  <c r="B3298" i="1"/>
  <c r="C3298" i="1"/>
  <c r="A3299" i="1"/>
  <c r="B3299" i="1"/>
  <c r="C3299" i="1"/>
  <c r="D3299" i="1"/>
  <c r="E3299" i="1"/>
  <c r="A3301" i="1"/>
  <c r="B3301" i="1"/>
  <c r="C3301" i="1"/>
  <c r="A3302" i="1"/>
  <c r="B3302" i="1"/>
  <c r="C3302" i="1"/>
  <c r="D3302" i="1"/>
  <c r="E3302" i="1"/>
  <c r="B3303" i="1"/>
  <c r="A3304" i="1"/>
  <c r="B3304" i="1"/>
  <c r="C3304" i="1"/>
  <c r="D3304" i="1"/>
  <c r="E3304" i="1"/>
  <c r="A3306" i="1"/>
  <c r="B3306" i="1"/>
  <c r="C3306" i="1"/>
  <c r="A3307" i="1"/>
  <c r="B3307" i="1"/>
  <c r="C3307" i="1"/>
  <c r="D3307" i="1"/>
  <c r="E3307" i="1"/>
  <c r="A3310" i="1"/>
  <c r="B3310" i="1"/>
  <c r="C3310" i="1"/>
  <c r="A3311" i="1"/>
  <c r="B3311" i="1"/>
  <c r="C3311" i="1"/>
  <c r="D3311" i="1"/>
  <c r="E3311" i="1"/>
  <c r="A3314" i="1"/>
  <c r="B3314" i="1"/>
  <c r="C3314" i="1"/>
  <c r="A3315" i="1"/>
  <c r="B3315" i="1"/>
  <c r="C3315" i="1"/>
  <c r="D3315" i="1"/>
  <c r="E3315" i="1"/>
  <c r="A3318" i="1"/>
  <c r="B3318" i="1"/>
  <c r="C3318" i="1"/>
  <c r="A3319" i="1"/>
  <c r="B3319" i="1"/>
  <c r="C3319" i="1"/>
  <c r="D3319" i="1"/>
  <c r="E3319" i="1"/>
  <c r="A3322" i="1"/>
  <c r="B3322" i="1"/>
  <c r="C3322" i="1"/>
  <c r="A3323" i="1"/>
  <c r="B3323" i="1"/>
  <c r="C3323" i="1"/>
  <c r="D3323" i="1"/>
  <c r="E3323" i="1"/>
  <c r="A3326" i="1"/>
  <c r="B3326" i="1"/>
  <c r="C3326" i="1"/>
  <c r="A3327" i="1"/>
  <c r="B3327" i="1"/>
  <c r="C3327" i="1"/>
  <c r="D3327" i="1"/>
  <c r="E3327" i="1"/>
  <c r="A3330" i="1"/>
  <c r="B3330" i="1"/>
  <c r="C3330" i="1"/>
  <c r="A3331" i="1"/>
  <c r="B3331" i="1"/>
  <c r="C3331" i="1"/>
  <c r="D3331" i="1"/>
  <c r="E3331" i="1"/>
  <c r="A3334" i="1"/>
  <c r="B3334" i="1"/>
  <c r="C3334" i="1"/>
  <c r="A3335" i="1"/>
  <c r="B3335" i="1"/>
  <c r="C3335" i="1"/>
  <c r="D3335" i="1"/>
  <c r="E3335" i="1"/>
  <c r="A3338" i="1"/>
  <c r="B3338" i="1"/>
  <c r="C3338" i="1"/>
  <c r="A3339" i="1"/>
  <c r="B3339" i="1"/>
  <c r="C3339" i="1"/>
  <c r="D3339" i="1"/>
  <c r="E3339" i="1"/>
  <c r="A3342" i="1"/>
  <c r="B3342" i="1"/>
  <c r="C3342" i="1"/>
  <c r="A3343" i="1"/>
  <c r="B3343" i="1"/>
  <c r="C3343" i="1"/>
  <c r="D3343" i="1"/>
  <c r="E3343" i="1"/>
  <c r="A3346" i="1"/>
  <c r="B3346" i="1"/>
  <c r="C3346" i="1"/>
  <c r="A3347" i="1"/>
  <c r="B3347" i="1"/>
  <c r="C3347" i="1"/>
  <c r="D3347" i="1"/>
  <c r="E3347" i="1"/>
  <c r="A3350" i="1"/>
  <c r="B3350" i="1"/>
  <c r="C3350" i="1"/>
  <c r="A3351" i="1"/>
  <c r="B3351" i="1"/>
  <c r="C3351" i="1"/>
  <c r="D3351" i="1"/>
  <c r="E3351" i="1"/>
  <c r="A3354" i="1"/>
  <c r="B3354" i="1"/>
  <c r="C3354" i="1"/>
  <c r="A3355" i="1"/>
  <c r="B3355" i="1"/>
  <c r="C3355" i="1"/>
  <c r="D3355" i="1"/>
  <c r="E3355" i="1"/>
  <c r="A3358" i="1"/>
  <c r="B3358" i="1"/>
  <c r="C3358" i="1"/>
  <c r="A3359" i="1"/>
  <c r="B3359" i="1"/>
  <c r="C3359" i="1"/>
  <c r="D3359" i="1"/>
  <c r="E3359" i="1"/>
  <c r="A3361" i="1"/>
  <c r="B3361" i="1"/>
  <c r="C3361" i="1"/>
  <c r="A3362" i="1"/>
  <c r="B3362" i="1"/>
  <c r="C3362" i="1"/>
  <c r="D3362" i="1"/>
  <c r="E3362" i="1"/>
  <c r="B3363" i="1"/>
  <c r="A3364" i="1"/>
  <c r="B3364" i="1"/>
  <c r="C3364" i="1"/>
  <c r="D3364" i="1"/>
  <c r="E3364" i="1"/>
  <c r="A3366" i="1"/>
  <c r="B3366" i="1"/>
  <c r="C3366" i="1"/>
  <c r="A3367" i="1"/>
  <c r="B3367" i="1"/>
  <c r="C3367" i="1"/>
  <c r="D3367" i="1"/>
  <c r="E3367" i="1"/>
  <c r="A3370" i="1"/>
  <c r="B3370" i="1"/>
  <c r="C3370" i="1"/>
  <c r="A3371" i="1"/>
  <c r="B3371" i="1"/>
  <c r="C3371" i="1"/>
  <c r="D3371" i="1"/>
  <c r="E3371" i="1"/>
  <c r="A3374" i="1"/>
  <c r="B3374" i="1"/>
  <c r="C3374" i="1"/>
  <c r="A3375" i="1"/>
  <c r="B3375" i="1"/>
  <c r="C3375" i="1"/>
  <c r="D3375" i="1"/>
  <c r="E3375" i="1"/>
  <c r="A3378" i="1"/>
  <c r="B3378" i="1"/>
  <c r="C3378" i="1"/>
  <c r="A3379" i="1"/>
  <c r="B3379" i="1"/>
  <c r="C3379" i="1"/>
  <c r="D3379" i="1"/>
  <c r="E3379" i="1"/>
  <c r="A3382" i="1"/>
  <c r="B3382" i="1"/>
  <c r="C3382" i="1"/>
  <c r="A3383" i="1"/>
  <c r="B3383" i="1"/>
  <c r="C3383" i="1"/>
  <c r="D3383" i="1"/>
  <c r="E3383" i="1"/>
  <c r="A3386" i="1"/>
  <c r="B3386" i="1"/>
  <c r="C3386" i="1"/>
  <c r="A3387" i="1"/>
  <c r="B3387" i="1"/>
  <c r="C3387" i="1"/>
  <c r="D3387" i="1"/>
  <c r="E3387" i="1"/>
  <c r="A3390" i="1"/>
  <c r="B3390" i="1"/>
  <c r="C3390" i="1"/>
  <c r="A3391" i="1"/>
  <c r="B3391" i="1"/>
  <c r="C3391" i="1"/>
  <c r="D3391" i="1"/>
  <c r="E3391" i="1"/>
  <c r="A3394" i="1"/>
  <c r="B3394" i="1"/>
  <c r="C3394" i="1"/>
  <c r="A3395" i="1"/>
  <c r="B3395" i="1"/>
  <c r="C3395" i="1"/>
  <c r="D3395" i="1"/>
  <c r="E3395" i="1"/>
  <c r="A3398" i="1"/>
  <c r="B3398" i="1"/>
  <c r="C3398" i="1"/>
  <c r="A3399" i="1"/>
  <c r="B3399" i="1"/>
  <c r="C3399" i="1"/>
  <c r="D3399" i="1"/>
  <c r="E3399" i="1"/>
  <c r="A3402" i="1"/>
  <c r="B3402" i="1"/>
  <c r="C3402" i="1"/>
  <c r="A3403" i="1"/>
  <c r="B3403" i="1"/>
  <c r="C3403" i="1"/>
  <c r="D3403" i="1"/>
  <c r="E3403" i="1"/>
  <c r="A3406" i="1"/>
  <c r="B3406" i="1"/>
  <c r="C3406" i="1"/>
  <c r="A3407" i="1"/>
  <c r="B3407" i="1"/>
  <c r="C3407" i="1"/>
  <c r="D3407" i="1"/>
  <c r="E3407" i="1"/>
  <c r="A3410" i="1"/>
  <c r="B3410" i="1"/>
  <c r="C3410" i="1"/>
  <c r="A3411" i="1"/>
  <c r="B3411" i="1"/>
  <c r="C3411" i="1"/>
  <c r="D3411" i="1"/>
  <c r="E3411" i="1"/>
  <c r="A3414" i="1"/>
  <c r="B3414" i="1"/>
  <c r="C3414" i="1"/>
  <c r="A3415" i="1"/>
  <c r="B3415" i="1"/>
  <c r="C3415" i="1"/>
  <c r="D3415" i="1"/>
  <c r="E3415" i="1"/>
  <c r="A3418" i="1"/>
  <c r="B3418" i="1"/>
  <c r="C3418" i="1"/>
  <c r="A3419" i="1"/>
  <c r="B3419" i="1"/>
  <c r="C3419" i="1"/>
  <c r="D3419" i="1"/>
  <c r="E3419" i="1"/>
  <c r="A3421" i="1"/>
  <c r="B3421" i="1"/>
  <c r="C3421" i="1"/>
  <c r="A3422" i="1"/>
  <c r="B3422" i="1"/>
  <c r="C3422" i="1"/>
  <c r="D3422" i="1"/>
  <c r="E3422" i="1"/>
  <c r="B3423" i="1"/>
  <c r="A3424" i="1"/>
  <c r="B3424" i="1"/>
  <c r="C3424" i="1"/>
  <c r="D3424" i="1"/>
  <c r="E3424" i="1"/>
  <c r="A3426" i="1"/>
  <c r="B3426" i="1"/>
  <c r="C3426" i="1"/>
  <c r="A3427" i="1"/>
  <c r="B3427" i="1"/>
  <c r="C3427" i="1"/>
  <c r="D3427" i="1"/>
  <c r="E3427" i="1"/>
  <c r="A3430" i="1"/>
  <c r="B3430" i="1"/>
  <c r="C3430" i="1"/>
  <c r="A3431" i="1"/>
  <c r="B3431" i="1"/>
  <c r="C3431" i="1"/>
  <c r="D3431" i="1"/>
  <c r="E3431" i="1"/>
  <c r="A3434" i="1"/>
  <c r="B3434" i="1"/>
  <c r="C3434" i="1"/>
  <c r="A3435" i="1"/>
  <c r="B3435" i="1"/>
  <c r="C3435" i="1"/>
  <c r="D3435" i="1"/>
  <c r="E3435" i="1"/>
  <c r="A3438" i="1"/>
  <c r="B3438" i="1"/>
  <c r="C3438" i="1"/>
  <c r="A3439" i="1"/>
  <c r="B3439" i="1"/>
  <c r="C3439" i="1"/>
  <c r="D3439" i="1"/>
  <c r="E3439" i="1"/>
  <c r="A3442" i="1"/>
  <c r="B3442" i="1"/>
  <c r="C3442" i="1"/>
  <c r="A3443" i="1"/>
  <c r="B3443" i="1"/>
  <c r="C3443" i="1"/>
  <c r="D3443" i="1"/>
  <c r="E3443" i="1"/>
  <c r="A3446" i="1"/>
  <c r="B3446" i="1"/>
  <c r="C3446" i="1"/>
  <c r="A3447" i="1"/>
  <c r="B3447" i="1"/>
  <c r="C3447" i="1"/>
  <c r="D3447" i="1"/>
  <c r="E3447" i="1"/>
  <c r="A3450" i="1"/>
  <c r="B3450" i="1"/>
  <c r="C3450" i="1"/>
  <c r="A3451" i="1"/>
  <c r="B3451" i="1"/>
  <c r="C3451" i="1"/>
  <c r="D3451" i="1"/>
  <c r="E3451" i="1"/>
  <c r="A3454" i="1"/>
  <c r="B3454" i="1"/>
  <c r="C3454" i="1"/>
  <c r="A3455" i="1"/>
  <c r="B3455" i="1"/>
  <c r="C3455" i="1"/>
  <c r="D3455" i="1"/>
  <c r="E3455" i="1"/>
  <c r="A3458" i="1"/>
  <c r="B3458" i="1"/>
  <c r="C3458" i="1"/>
  <c r="A3459" i="1"/>
  <c r="B3459" i="1"/>
  <c r="C3459" i="1"/>
  <c r="D3459" i="1"/>
  <c r="E3459" i="1"/>
  <c r="A3462" i="1"/>
  <c r="B3462" i="1"/>
  <c r="C3462" i="1"/>
  <c r="A3463" i="1"/>
  <c r="B3463" i="1"/>
  <c r="C3463" i="1"/>
  <c r="D3463" i="1"/>
  <c r="E3463" i="1"/>
  <c r="A3466" i="1"/>
  <c r="B3466" i="1"/>
  <c r="C3466" i="1"/>
  <c r="A3467" i="1"/>
  <c r="B3467" i="1"/>
  <c r="C3467" i="1"/>
  <c r="D3467" i="1"/>
  <c r="E3467" i="1"/>
  <c r="A3470" i="1"/>
  <c r="B3470" i="1"/>
  <c r="C3470" i="1"/>
  <c r="A3471" i="1"/>
  <c r="B3471" i="1"/>
  <c r="C3471" i="1"/>
  <c r="D3471" i="1"/>
  <c r="E3471" i="1"/>
  <c r="A3474" i="1"/>
  <c r="B3474" i="1"/>
  <c r="C3474" i="1"/>
  <c r="A3475" i="1"/>
  <c r="B3475" i="1"/>
  <c r="C3475" i="1"/>
  <c r="D3475" i="1"/>
  <c r="E3475" i="1"/>
  <c r="A3478" i="1"/>
  <c r="B3478" i="1"/>
  <c r="C3478" i="1"/>
  <c r="A3479" i="1"/>
  <c r="B3479" i="1"/>
  <c r="C3479" i="1"/>
  <c r="D3479" i="1"/>
  <c r="E3479" i="1"/>
  <c r="A3481" i="1"/>
  <c r="B3481" i="1"/>
  <c r="C3481" i="1"/>
  <c r="A3482" i="1"/>
  <c r="B3482" i="1"/>
  <c r="C3482" i="1"/>
  <c r="D3482" i="1"/>
  <c r="E3482" i="1"/>
  <c r="B3483" i="1"/>
  <c r="A3484" i="1"/>
  <c r="B3484" i="1"/>
  <c r="C3484" i="1"/>
  <c r="D3484" i="1"/>
  <c r="E3484" i="1"/>
  <c r="A3486" i="1"/>
  <c r="B3486" i="1"/>
  <c r="C3486" i="1"/>
  <c r="A3487" i="1"/>
  <c r="B3487" i="1"/>
  <c r="C3487" i="1"/>
  <c r="D3487" i="1"/>
  <c r="E3487" i="1"/>
  <c r="A3490" i="1"/>
  <c r="B3490" i="1"/>
  <c r="C3490" i="1"/>
  <c r="A3491" i="1"/>
  <c r="B3491" i="1"/>
  <c r="C3491" i="1"/>
  <c r="D3491" i="1"/>
  <c r="E3491" i="1"/>
  <c r="A3494" i="1"/>
  <c r="B3494" i="1"/>
  <c r="C3494" i="1"/>
  <c r="A3495" i="1"/>
  <c r="B3495" i="1"/>
  <c r="C3495" i="1"/>
  <c r="D3495" i="1"/>
  <c r="E3495" i="1"/>
  <c r="A3498" i="1"/>
  <c r="B3498" i="1"/>
  <c r="C3498" i="1"/>
  <c r="A3499" i="1"/>
  <c r="B3499" i="1"/>
  <c r="C3499" i="1"/>
  <c r="D3499" i="1"/>
  <c r="E3499" i="1"/>
  <c r="A3502" i="1"/>
  <c r="B3502" i="1"/>
  <c r="C3502" i="1"/>
  <c r="A3503" i="1"/>
  <c r="B3503" i="1"/>
  <c r="C3503" i="1"/>
  <c r="D3503" i="1"/>
  <c r="E3503" i="1"/>
  <c r="A3506" i="1"/>
  <c r="B3506" i="1"/>
  <c r="C3506" i="1"/>
  <c r="A3507" i="1"/>
  <c r="B3507" i="1"/>
  <c r="C3507" i="1"/>
  <c r="D3507" i="1"/>
  <c r="E3507" i="1"/>
  <c r="A3510" i="1"/>
  <c r="B3510" i="1"/>
  <c r="C3510" i="1"/>
  <c r="A3511" i="1"/>
  <c r="B3511" i="1"/>
  <c r="C3511" i="1"/>
  <c r="D3511" i="1"/>
  <c r="E3511" i="1"/>
  <c r="A3514" i="1"/>
  <c r="B3514" i="1"/>
  <c r="C3514" i="1"/>
  <c r="A3515" i="1"/>
  <c r="B3515" i="1"/>
  <c r="C3515" i="1"/>
  <c r="D3515" i="1"/>
  <c r="E3515" i="1"/>
  <c r="A3518" i="1"/>
  <c r="B3518" i="1"/>
  <c r="C3518" i="1"/>
  <c r="A3519" i="1"/>
  <c r="B3519" i="1"/>
  <c r="C3519" i="1"/>
  <c r="D3519" i="1"/>
  <c r="E3519" i="1"/>
  <c r="A3522" i="1"/>
  <c r="B3522" i="1"/>
  <c r="C3522" i="1"/>
  <c r="A3523" i="1"/>
  <c r="B3523" i="1"/>
  <c r="C3523" i="1"/>
  <c r="D3523" i="1"/>
  <c r="E3523" i="1"/>
  <c r="A3526" i="1"/>
  <c r="B3526" i="1"/>
  <c r="C3526" i="1"/>
  <c r="A3527" i="1"/>
  <c r="B3527" i="1"/>
  <c r="C3527" i="1"/>
  <c r="D3527" i="1"/>
  <c r="E3527" i="1"/>
  <c r="A3530" i="1"/>
  <c r="B3530" i="1"/>
  <c r="C3530" i="1"/>
  <c r="A3531" i="1"/>
  <c r="B3531" i="1"/>
  <c r="C3531" i="1"/>
  <c r="D3531" i="1"/>
  <c r="E3531" i="1"/>
  <c r="A3534" i="1"/>
  <c r="B3534" i="1"/>
  <c r="C3534" i="1"/>
  <c r="A3535" i="1"/>
  <c r="B3535" i="1"/>
  <c r="C3535" i="1"/>
  <c r="D3535" i="1"/>
  <c r="E3535" i="1"/>
  <c r="A3538" i="1"/>
  <c r="B3538" i="1"/>
  <c r="C3538" i="1"/>
  <c r="A3539" i="1"/>
  <c r="B3539" i="1"/>
  <c r="C3539" i="1"/>
  <c r="D3539" i="1"/>
  <c r="E3539" i="1"/>
  <c r="A3541" i="1"/>
  <c r="B3541" i="1"/>
  <c r="C3541" i="1"/>
  <c r="A3542" i="1"/>
  <c r="B3542" i="1"/>
  <c r="C3542" i="1"/>
  <c r="D3542" i="1"/>
  <c r="E3542" i="1"/>
  <c r="B3543" i="1"/>
  <c r="A3544" i="1"/>
  <c r="B3544" i="1"/>
  <c r="C3544" i="1"/>
  <c r="D3544" i="1"/>
  <c r="E3544" i="1"/>
  <c r="A3546" i="1"/>
  <c r="B3546" i="1"/>
  <c r="C3546" i="1"/>
  <c r="A3547" i="1"/>
  <c r="B3547" i="1"/>
  <c r="C3547" i="1"/>
  <c r="D3547" i="1"/>
  <c r="E3547" i="1"/>
  <c r="A3550" i="1"/>
  <c r="B3550" i="1"/>
  <c r="C3550" i="1"/>
  <c r="A3551" i="1"/>
  <c r="B3551" i="1"/>
  <c r="C3551" i="1"/>
  <c r="D3551" i="1"/>
  <c r="E3551" i="1"/>
  <c r="A3554" i="1"/>
  <c r="B3554" i="1"/>
  <c r="C3554" i="1"/>
  <c r="A3555" i="1"/>
  <c r="B3555" i="1"/>
  <c r="C3555" i="1"/>
  <c r="D3555" i="1"/>
  <c r="E3555" i="1"/>
  <c r="A3558" i="1"/>
  <c r="B3558" i="1"/>
  <c r="C3558" i="1"/>
  <c r="A3559" i="1"/>
  <c r="B3559" i="1"/>
  <c r="C3559" i="1"/>
  <c r="D3559" i="1"/>
  <c r="E3559" i="1"/>
  <c r="A3562" i="1"/>
  <c r="B3562" i="1"/>
  <c r="C3562" i="1"/>
  <c r="A3563" i="1"/>
  <c r="B3563" i="1"/>
  <c r="C3563" i="1"/>
  <c r="D3563" i="1"/>
  <c r="E3563" i="1"/>
  <c r="A3566" i="1"/>
  <c r="B3566" i="1"/>
  <c r="C3566" i="1"/>
  <c r="A3567" i="1"/>
  <c r="B3567" i="1"/>
  <c r="C3567" i="1"/>
  <c r="D3567" i="1"/>
  <c r="E3567" i="1"/>
  <c r="A3570" i="1"/>
  <c r="B3570" i="1"/>
  <c r="C3570" i="1"/>
  <c r="A3571" i="1"/>
  <c r="B3571" i="1"/>
  <c r="C3571" i="1"/>
  <c r="D3571" i="1"/>
  <c r="E3571" i="1"/>
  <c r="A3574" i="1"/>
  <c r="B3574" i="1"/>
  <c r="C3574" i="1"/>
  <c r="A3575" i="1"/>
  <c r="B3575" i="1"/>
  <c r="C3575" i="1"/>
  <c r="D3575" i="1"/>
  <c r="E3575" i="1"/>
  <c r="A3578" i="1"/>
  <c r="B3578" i="1"/>
  <c r="C3578" i="1"/>
  <c r="A3579" i="1"/>
  <c r="B3579" i="1"/>
  <c r="C3579" i="1"/>
  <c r="D3579" i="1"/>
  <c r="E3579" i="1"/>
  <c r="A3582" i="1"/>
  <c r="B3582" i="1"/>
  <c r="C3582" i="1"/>
  <c r="A3583" i="1"/>
  <c r="B3583" i="1"/>
  <c r="C3583" i="1"/>
  <c r="D3583" i="1"/>
  <c r="E3583" i="1"/>
  <c r="A3586" i="1"/>
  <c r="B3586" i="1"/>
  <c r="C3586" i="1"/>
  <c r="A3587" i="1"/>
  <c r="B3587" i="1"/>
  <c r="C3587" i="1"/>
  <c r="D3587" i="1"/>
  <c r="E3587" i="1"/>
  <c r="A3590" i="1"/>
  <c r="B3590" i="1"/>
  <c r="C3590" i="1"/>
  <c r="A3591" i="1"/>
  <c r="B3591" i="1"/>
  <c r="C3591" i="1"/>
  <c r="D3591" i="1"/>
  <c r="E3591" i="1"/>
  <c r="A3594" i="1"/>
  <c r="B3594" i="1"/>
  <c r="C3594" i="1"/>
  <c r="A3595" i="1"/>
  <c r="B3595" i="1"/>
  <c r="C3595" i="1"/>
  <c r="D3595" i="1"/>
  <c r="E3595" i="1"/>
  <c r="A3598" i="1"/>
  <c r="B3598" i="1"/>
  <c r="C3598" i="1"/>
  <c r="A3599" i="1"/>
  <c r="B3599" i="1"/>
  <c r="C3599" i="1"/>
  <c r="D3599" i="1"/>
  <c r="E3599" i="1"/>
  <c r="A3601" i="1"/>
  <c r="B3601" i="1"/>
  <c r="C3601" i="1"/>
  <c r="A3602" i="1"/>
  <c r="B3602" i="1"/>
  <c r="C3602" i="1"/>
  <c r="D3602" i="1"/>
  <c r="E3602" i="1"/>
  <c r="B3603" i="1"/>
  <c r="A3604" i="1"/>
  <c r="B3604" i="1"/>
  <c r="C3604" i="1"/>
  <c r="D3604" i="1"/>
  <c r="E3604" i="1"/>
  <c r="A3606" i="1"/>
  <c r="B3606" i="1"/>
  <c r="C3606" i="1"/>
  <c r="A3607" i="1"/>
  <c r="B3607" i="1"/>
  <c r="C3607" i="1"/>
  <c r="D3607" i="1"/>
  <c r="E3607" i="1"/>
  <c r="A3610" i="1"/>
  <c r="B3610" i="1"/>
  <c r="C3610" i="1"/>
  <c r="A3611" i="1"/>
  <c r="B3611" i="1"/>
  <c r="C3611" i="1"/>
  <c r="D3611" i="1"/>
  <c r="E3611" i="1"/>
  <c r="A3614" i="1"/>
  <c r="B3614" i="1"/>
  <c r="C3614" i="1"/>
  <c r="A3615" i="1"/>
  <c r="B3615" i="1"/>
  <c r="C3615" i="1"/>
  <c r="D3615" i="1"/>
  <c r="E3615" i="1"/>
  <c r="A3618" i="1"/>
  <c r="B3618" i="1"/>
  <c r="C3618" i="1"/>
  <c r="A3619" i="1"/>
  <c r="B3619" i="1"/>
  <c r="C3619" i="1"/>
  <c r="D3619" i="1"/>
  <c r="E3619" i="1"/>
  <c r="A3622" i="1"/>
  <c r="B3622" i="1"/>
  <c r="C3622" i="1"/>
  <c r="A3623" i="1"/>
  <c r="B3623" i="1"/>
  <c r="C3623" i="1"/>
  <c r="D3623" i="1"/>
  <c r="E3623" i="1"/>
  <c r="A3626" i="1"/>
  <c r="B3626" i="1"/>
  <c r="C3626" i="1"/>
  <c r="A3627" i="1"/>
  <c r="B3627" i="1"/>
  <c r="C3627" i="1"/>
  <c r="D3627" i="1"/>
  <c r="E3627" i="1"/>
  <c r="A3630" i="1"/>
  <c r="B3630" i="1"/>
  <c r="C3630" i="1"/>
  <c r="A3631" i="1"/>
  <c r="B3631" i="1"/>
  <c r="C3631" i="1"/>
  <c r="D3631" i="1"/>
  <c r="E3631" i="1"/>
  <c r="A3634" i="1"/>
  <c r="B3634" i="1"/>
  <c r="C3634" i="1"/>
  <c r="A3635" i="1"/>
  <c r="B3635" i="1"/>
  <c r="C3635" i="1"/>
  <c r="D3635" i="1"/>
  <c r="E3635" i="1"/>
  <c r="A3638" i="1"/>
  <c r="B3638" i="1"/>
  <c r="C3638" i="1"/>
  <c r="A3639" i="1"/>
  <c r="B3639" i="1"/>
  <c r="C3639" i="1"/>
  <c r="D3639" i="1"/>
  <c r="E3639" i="1"/>
  <c r="A3642" i="1"/>
  <c r="B3642" i="1"/>
  <c r="C3642" i="1"/>
  <c r="A3643" i="1"/>
  <c r="B3643" i="1"/>
  <c r="C3643" i="1"/>
  <c r="D3643" i="1"/>
  <c r="E3643" i="1"/>
  <c r="A3646" i="1"/>
  <c r="B3646" i="1"/>
  <c r="C3646" i="1"/>
  <c r="A3647" i="1"/>
  <c r="B3647" i="1"/>
  <c r="C3647" i="1"/>
  <c r="D3647" i="1"/>
  <c r="E3647" i="1"/>
  <c r="A3650" i="1"/>
  <c r="B3650" i="1"/>
  <c r="C3650" i="1"/>
  <c r="A3651" i="1"/>
  <c r="B3651" i="1"/>
  <c r="C3651" i="1"/>
  <c r="D3651" i="1"/>
  <c r="E3651" i="1"/>
  <c r="A3654" i="1"/>
  <c r="B3654" i="1"/>
  <c r="C3654" i="1"/>
  <c r="A3655" i="1"/>
  <c r="B3655" i="1"/>
  <c r="C3655" i="1"/>
  <c r="D3655" i="1"/>
  <c r="E3655" i="1"/>
  <c r="A3658" i="1"/>
  <c r="B3658" i="1"/>
  <c r="C3658" i="1"/>
  <c r="A3659" i="1"/>
  <c r="B3659" i="1"/>
  <c r="C3659" i="1"/>
  <c r="D3659" i="1"/>
  <c r="E3659" i="1"/>
  <c r="A3661" i="1"/>
  <c r="B3661" i="1"/>
  <c r="C3661" i="1"/>
  <c r="A3662" i="1"/>
  <c r="B3662" i="1"/>
  <c r="C3662" i="1"/>
  <c r="D3662" i="1"/>
  <c r="E3662" i="1"/>
  <c r="B3663" i="1"/>
  <c r="A3664" i="1"/>
  <c r="B3664" i="1"/>
  <c r="C3664" i="1"/>
  <c r="D3664" i="1"/>
  <c r="E3664" i="1"/>
  <c r="A3666" i="1"/>
  <c r="B3666" i="1"/>
  <c r="C3666" i="1"/>
  <c r="A3667" i="1"/>
  <c r="B3667" i="1"/>
  <c r="C3667" i="1"/>
  <c r="D3667" i="1"/>
  <c r="E3667" i="1"/>
  <c r="A3670" i="1"/>
  <c r="B3670" i="1"/>
  <c r="C3670" i="1"/>
  <c r="A3671" i="1"/>
  <c r="B3671" i="1"/>
  <c r="C3671" i="1"/>
  <c r="D3671" i="1"/>
  <c r="E3671" i="1"/>
  <c r="A3674" i="1"/>
  <c r="B3674" i="1"/>
  <c r="C3674" i="1"/>
  <c r="A3675" i="1"/>
  <c r="B3675" i="1"/>
  <c r="C3675" i="1"/>
  <c r="D3675" i="1"/>
  <c r="E3675" i="1"/>
  <c r="A3678" i="1"/>
  <c r="B3678" i="1"/>
  <c r="C3678" i="1"/>
  <c r="A3679" i="1"/>
  <c r="B3679" i="1"/>
  <c r="C3679" i="1"/>
  <c r="D3679" i="1"/>
  <c r="E3679" i="1"/>
  <c r="A3682" i="1"/>
  <c r="B3682" i="1"/>
  <c r="C3682" i="1"/>
  <c r="A3683" i="1"/>
  <c r="B3683" i="1"/>
  <c r="C3683" i="1"/>
  <c r="D3683" i="1"/>
  <c r="E3683" i="1"/>
  <c r="A3686" i="1"/>
  <c r="B3686" i="1"/>
  <c r="C3686" i="1"/>
  <c r="A3687" i="1"/>
  <c r="B3687" i="1"/>
  <c r="C3687" i="1"/>
  <c r="D3687" i="1"/>
  <c r="E3687" i="1"/>
  <c r="A3690" i="1"/>
  <c r="B3690" i="1"/>
  <c r="C3690" i="1"/>
  <c r="A3691" i="1"/>
  <c r="B3691" i="1"/>
  <c r="C3691" i="1"/>
  <c r="D3691" i="1"/>
  <c r="E3691" i="1"/>
  <c r="A3694" i="1"/>
  <c r="B3694" i="1"/>
  <c r="C3694" i="1"/>
  <c r="A3695" i="1"/>
  <c r="B3695" i="1"/>
  <c r="C3695" i="1"/>
  <c r="D3695" i="1"/>
  <c r="E3695" i="1"/>
  <c r="A3698" i="1"/>
  <c r="B3698" i="1"/>
  <c r="C3698" i="1"/>
  <c r="A3699" i="1"/>
  <c r="B3699" i="1"/>
  <c r="C3699" i="1"/>
  <c r="D3699" i="1"/>
  <c r="E3699" i="1"/>
  <c r="A3702" i="1"/>
  <c r="B3702" i="1"/>
  <c r="C3702" i="1"/>
  <c r="A3703" i="1"/>
  <c r="B3703" i="1"/>
  <c r="C3703" i="1"/>
  <c r="D3703" i="1"/>
  <c r="E3703" i="1"/>
  <c r="A3706" i="1"/>
  <c r="B3706" i="1"/>
  <c r="C3706" i="1"/>
  <c r="A3707" i="1"/>
  <c r="B3707" i="1"/>
  <c r="C3707" i="1"/>
  <c r="D3707" i="1"/>
  <c r="E3707" i="1"/>
  <c r="A3710" i="1"/>
  <c r="B3710" i="1"/>
  <c r="C3710" i="1"/>
  <c r="A3711" i="1"/>
  <c r="B3711" i="1"/>
  <c r="C3711" i="1"/>
  <c r="D3711" i="1"/>
  <c r="E3711" i="1"/>
  <c r="A3714" i="1"/>
  <c r="B3714" i="1"/>
  <c r="C3714" i="1"/>
  <c r="A3715" i="1"/>
  <c r="B3715" i="1"/>
  <c r="C3715" i="1"/>
  <c r="D3715" i="1"/>
  <c r="E3715" i="1"/>
  <c r="A3718" i="1"/>
  <c r="B3718" i="1"/>
  <c r="C3718" i="1"/>
  <c r="A3719" i="1"/>
  <c r="B3719" i="1"/>
  <c r="C3719" i="1"/>
  <c r="D3719" i="1"/>
  <c r="E3719" i="1"/>
  <c r="A3721" i="1"/>
  <c r="B3721" i="1"/>
  <c r="C3721" i="1"/>
  <c r="A3722" i="1"/>
  <c r="B3722" i="1"/>
  <c r="C3722" i="1"/>
  <c r="D3722" i="1"/>
  <c r="E3722" i="1"/>
  <c r="B3723" i="1"/>
  <c r="A3724" i="1"/>
  <c r="B3724" i="1"/>
  <c r="C3724" i="1"/>
  <c r="D3724" i="1"/>
  <c r="E3724" i="1"/>
  <c r="A3726" i="1"/>
  <c r="B3726" i="1"/>
  <c r="C3726" i="1"/>
  <c r="A3727" i="1"/>
  <c r="B3727" i="1"/>
  <c r="C3727" i="1"/>
  <c r="D3727" i="1"/>
  <c r="E3727" i="1"/>
  <c r="A3730" i="1"/>
  <c r="B3730" i="1"/>
  <c r="C3730" i="1"/>
  <c r="A3731" i="1"/>
  <c r="B3731" i="1"/>
  <c r="C3731" i="1"/>
  <c r="D3731" i="1"/>
  <c r="E3731" i="1"/>
  <c r="A3734" i="1"/>
  <c r="B3734" i="1"/>
  <c r="C3734" i="1"/>
  <c r="A3735" i="1"/>
  <c r="B3735" i="1"/>
  <c r="C3735" i="1"/>
  <c r="D3735" i="1"/>
  <c r="E3735" i="1"/>
  <c r="A3738" i="1"/>
  <c r="B3738" i="1"/>
  <c r="C3738" i="1"/>
  <c r="A3739" i="1"/>
  <c r="B3739" i="1"/>
  <c r="C3739" i="1"/>
  <c r="D3739" i="1"/>
  <c r="E3739" i="1"/>
  <c r="A3742" i="1"/>
  <c r="B3742" i="1"/>
  <c r="C3742" i="1"/>
  <c r="A3743" i="1"/>
  <c r="B3743" i="1"/>
  <c r="C3743" i="1"/>
  <c r="D3743" i="1"/>
  <c r="E3743" i="1"/>
  <c r="A3746" i="1"/>
  <c r="B3746" i="1"/>
  <c r="C3746" i="1"/>
  <c r="A3747" i="1"/>
  <c r="B3747" i="1"/>
  <c r="C3747" i="1"/>
  <c r="D3747" i="1"/>
  <c r="E3747" i="1"/>
  <c r="A3750" i="1"/>
  <c r="B3750" i="1"/>
  <c r="C3750" i="1"/>
  <c r="A3751" i="1"/>
  <c r="B3751" i="1"/>
  <c r="C3751" i="1"/>
  <c r="D3751" i="1"/>
  <c r="E3751" i="1"/>
  <c r="A3754" i="1"/>
  <c r="B3754" i="1"/>
  <c r="C3754" i="1"/>
  <c r="A3755" i="1"/>
  <c r="B3755" i="1"/>
  <c r="C3755" i="1"/>
  <c r="D3755" i="1"/>
  <c r="E3755" i="1"/>
  <c r="A3758" i="1"/>
  <c r="B3758" i="1"/>
  <c r="C3758" i="1"/>
  <c r="A3759" i="1"/>
  <c r="B3759" i="1"/>
  <c r="C3759" i="1"/>
  <c r="D3759" i="1"/>
  <c r="E3759" i="1"/>
  <c r="A3762" i="1"/>
  <c r="B3762" i="1"/>
  <c r="C3762" i="1"/>
  <c r="A3763" i="1"/>
  <c r="B3763" i="1"/>
  <c r="C3763" i="1"/>
  <c r="D3763" i="1"/>
  <c r="E3763" i="1"/>
  <c r="A3766" i="1"/>
  <c r="B3766" i="1"/>
  <c r="C3766" i="1"/>
  <c r="A3767" i="1"/>
  <c r="B3767" i="1"/>
  <c r="C3767" i="1"/>
  <c r="D3767" i="1"/>
  <c r="E3767" i="1"/>
  <c r="A3770" i="1"/>
  <c r="B3770" i="1"/>
  <c r="C3770" i="1"/>
  <c r="A3771" i="1"/>
  <c r="B3771" i="1"/>
  <c r="C3771" i="1"/>
  <c r="D3771" i="1"/>
  <c r="E3771" i="1"/>
  <c r="A3774" i="1"/>
  <c r="B3774" i="1"/>
  <c r="C3774" i="1"/>
  <c r="A3775" i="1"/>
  <c r="B3775" i="1"/>
  <c r="C3775" i="1"/>
  <c r="D3775" i="1"/>
  <c r="E3775" i="1"/>
  <c r="A3778" i="1"/>
  <c r="B3778" i="1"/>
  <c r="C3778" i="1"/>
  <c r="A3779" i="1"/>
  <c r="B3779" i="1"/>
  <c r="C3779" i="1"/>
  <c r="D3779" i="1"/>
  <c r="E3779" i="1"/>
  <c r="A3781" i="1"/>
  <c r="B3781" i="1"/>
  <c r="C3781" i="1"/>
  <c r="A3782" i="1"/>
  <c r="B3782" i="1"/>
  <c r="C3782" i="1"/>
  <c r="D3782" i="1"/>
  <c r="E3782" i="1"/>
  <c r="B3783" i="1"/>
  <c r="A3784" i="1"/>
  <c r="B3784" i="1"/>
  <c r="C3784" i="1"/>
  <c r="D3784" i="1"/>
  <c r="E3784" i="1"/>
  <c r="A3786" i="1"/>
  <c r="B3786" i="1"/>
  <c r="C3786" i="1"/>
  <c r="A3787" i="1"/>
  <c r="B3787" i="1"/>
  <c r="C3787" i="1"/>
  <c r="D3787" i="1"/>
  <c r="E3787" i="1"/>
  <c r="A3790" i="1"/>
  <c r="B3790" i="1"/>
  <c r="C3790" i="1"/>
  <c r="A3791" i="1"/>
  <c r="B3791" i="1"/>
  <c r="C3791" i="1"/>
  <c r="D3791" i="1"/>
  <c r="E3791" i="1"/>
  <c r="A3794" i="1"/>
  <c r="B3794" i="1"/>
  <c r="C3794" i="1"/>
  <c r="A3795" i="1"/>
  <c r="B3795" i="1"/>
  <c r="C3795" i="1"/>
  <c r="D3795" i="1"/>
  <c r="E3795" i="1"/>
  <c r="A3798" i="1"/>
  <c r="B3798" i="1"/>
  <c r="C3798" i="1"/>
  <c r="A3799" i="1"/>
  <c r="B3799" i="1"/>
  <c r="C3799" i="1"/>
  <c r="D3799" i="1"/>
  <c r="E3799" i="1"/>
  <c r="A3802" i="1"/>
  <c r="B3802" i="1"/>
  <c r="C3802" i="1"/>
  <c r="A3803" i="1"/>
  <c r="B3803" i="1"/>
  <c r="C3803" i="1"/>
  <c r="D3803" i="1"/>
  <c r="E3803" i="1"/>
  <c r="A3806" i="1"/>
  <c r="B3806" i="1"/>
  <c r="C3806" i="1"/>
  <c r="A3807" i="1"/>
  <c r="B3807" i="1"/>
  <c r="C3807" i="1"/>
  <c r="D3807" i="1"/>
  <c r="E3807" i="1"/>
  <c r="A3809" i="1"/>
  <c r="B3809" i="1"/>
  <c r="A3810" i="1"/>
  <c r="B3810" i="1"/>
  <c r="D3810" i="1"/>
  <c r="E3810" i="1"/>
  <c r="A3811" i="1"/>
  <c r="B3811" i="1"/>
  <c r="D3811" i="1"/>
  <c r="E38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1"/>
  <sheetViews>
    <sheetView tabSelected="1" workbookViewId="0">
      <selection activeCell="C7" sqref="C7"/>
    </sheetView>
  </sheetViews>
  <sheetFormatPr defaultRowHeight="15" x14ac:dyDescent="0.25"/>
  <cols>
    <col min="1" max="1" width="11" bestFit="1" customWidth="1"/>
    <col min="2" max="2" width="27.5703125" bestFit="1" customWidth="1"/>
    <col min="3" max="3" width="12" bestFit="1" customWidth="1"/>
    <col min="4" max="5" width="16.140625" bestFit="1" customWidth="1"/>
  </cols>
  <sheetData>
    <row r="1" spans="1:5" x14ac:dyDescent="0.25">
      <c r="A1" t="str">
        <f>"Poř.č.fak."</f>
        <v>Poř.č.fak.</v>
      </c>
      <c r="B1" t="str">
        <f>"Dodavatel"</f>
        <v>Dodavatel</v>
      </c>
      <c r="C1" t="str">
        <f>"IČO"</f>
        <v>IČO</v>
      </c>
    </row>
    <row r="2" spans="1:5" x14ac:dyDescent="0.25">
      <c r="A2" t="str">
        <f>"Došla"</f>
        <v>Došla</v>
      </c>
      <c r="B2" t="str">
        <f>"Splatná"</f>
        <v>Splatná</v>
      </c>
      <c r="C2" t="str">
        <f>"Zaplacená"</f>
        <v>Zaplacená</v>
      </c>
      <c r="D2" t="str">
        <f>"Fakt.částka"</f>
        <v>Fakt.částka</v>
      </c>
      <c r="E2" t="str">
        <f>"Celk.zaplaceno"</f>
        <v>Celk.zaplaceno</v>
      </c>
    </row>
    <row r="3" spans="1:5" x14ac:dyDescent="0.25">
      <c r="B3" t="str">
        <f>"Poznámka"</f>
        <v>Poznámka</v>
      </c>
    </row>
    <row r="4" spans="1:5" x14ac:dyDescent="0.25">
      <c r="A4" t="str">
        <f>"**********"</f>
        <v>**********</v>
      </c>
      <c r="B4" t="str">
        <f>"**************************"</f>
        <v>**************************</v>
      </c>
      <c r="C4" t="str">
        <f>"***********"</f>
        <v>***********</v>
      </c>
      <c r="D4" t="str">
        <f>"***************"</f>
        <v>***************</v>
      </c>
      <c r="E4" t="str">
        <f>"***************"</f>
        <v>***************</v>
      </c>
    </row>
    <row r="6" spans="1:5" x14ac:dyDescent="0.25">
      <c r="A6" t="str">
        <f>"1"</f>
        <v>1</v>
      </c>
      <c r="B6" t="str">
        <f>"Jan Pečenka Zvěrotice"</f>
        <v>Jan Pečenka Zvěrotice</v>
      </c>
      <c r="C6" t="str">
        <f>"45016062"</f>
        <v>45016062</v>
      </c>
    </row>
    <row r="7" spans="1:5" x14ac:dyDescent="0.25">
      <c r="A7" t="str">
        <f>"11.01.2011"</f>
        <v>11.01.2011</v>
      </c>
      <c r="B7" t="str">
        <f>"13.01.2011"</f>
        <v>13.01.2011</v>
      </c>
      <c r="C7" t="str">
        <f>"11.01.2011"</f>
        <v>11.01.2011</v>
      </c>
      <c r="D7" t="str">
        <f>"35.000,00"</f>
        <v>35.000,00</v>
      </c>
      <c r="E7" t="str">
        <f>"35.000,00"</f>
        <v>35.000,00</v>
      </c>
    </row>
    <row r="10" spans="1:5" x14ac:dyDescent="0.25">
      <c r="A10" t="str">
        <f>"2"</f>
        <v>2</v>
      </c>
      <c r="B10" t="str">
        <f>"Java Třeboň"</f>
        <v>Java Třeboň</v>
      </c>
      <c r="C10" t="str">
        <f>"15792994"</f>
        <v>15792994</v>
      </c>
    </row>
    <row r="11" spans="1:5" x14ac:dyDescent="0.25">
      <c r="A11" t="str">
        <f>"11.01.2011"</f>
        <v>11.01.2011</v>
      </c>
      <c r="B11" t="str">
        <f>"13.01.2011"</f>
        <v>13.01.2011</v>
      </c>
      <c r="C11" t="str">
        <f>"11.01.2011"</f>
        <v>11.01.2011</v>
      </c>
      <c r="D11" t="str">
        <f>"36.014,00"</f>
        <v>36.014,00</v>
      </c>
      <c r="E11" t="str">
        <f>"36.014,00"</f>
        <v>36.014,00</v>
      </c>
    </row>
    <row r="14" spans="1:5" x14ac:dyDescent="0.25">
      <c r="A14" t="str">
        <f>"3"</f>
        <v>3</v>
      </c>
      <c r="B14" t="str">
        <f>"Peter Kučera Brno"</f>
        <v>Peter Kučera Brno</v>
      </c>
      <c r="C14" t="str">
        <f>"66515009"</f>
        <v>66515009</v>
      </c>
    </row>
    <row r="15" spans="1:5" x14ac:dyDescent="0.25">
      <c r="A15" t="str">
        <f>"11.01.2011"</f>
        <v>11.01.2011</v>
      </c>
      <c r="B15" t="str">
        <f>"14.01.2011"</f>
        <v>14.01.2011</v>
      </c>
      <c r="C15" t="str">
        <f>"11.01.2011"</f>
        <v>11.01.2011</v>
      </c>
      <c r="D15" t="str">
        <f>"1.200,00"</f>
        <v>1.200,00</v>
      </c>
      <c r="E15" t="str">
        <f>"1.200,00"</f>
        <v>1.200,00</v>
      </c>
    </row>
    <row r="18" spans="1:5" x14ac:dyDescent="0.25">
      <c r="A18" t="str">
        <f>"4"</f>
        <v>4</v>
      </c>
      <c r="B18" t="str">
        <f>"ANAG,s.r.o. Olomouc"</f>
        <v>ANAG,s.r.o. Olomouc</v>
      </c>
      <c r="C18" t="str">
        <f>"25354671"</f>
        <v>25354671</v>
      </c>
    </row>
    <row r="19" spans="1:5" x14ac:dyDescent="0.25">
      <c r="A19" t="str">
        <f>"11.01.2011"</f>
        <v>11.01.2011</v>
      </c>
      <c r="B19" t="str">
        <f>"17.01.2011"</f>
        <v>17.01.2011</v>
      </c>
      <c r="C19" t="str">
        <f>"14.01.2011"</f>
        <v>14.01.2011</v>
      </c>
      <c r="D19" t="str">
        <f>"840,00"</f>
        <v>840,00</v>
      </c>
      <c r="E19" t="str">
        <f>"840,00"</f>
        <v>840,00</v>
      </c>
    </row>
    <row r="22" spans="1:5" x14ac:dyDescent="0.25">
      <c r="A22" t="str">
        <f>"5"</f>
        <v>5</v>
      </c>
      <c r="B22" t="str">
        <f>"Sodexo Pass ČR a.s. Praha"</f>
        <v>Sodexo Pass ČR a.s. Praha</v>
      </c>
      <c r="C22" t="str">
        <f>"61860476"</f>
        <v>61860476</v>
      </c>
    </row>
    <row r="23" spans="1:5" x14ac:dyDescent="0.25">
      <c r="A23" t="str">
        <f>"11.01.2011"</f>
        <v>11.01.2011</v>
      </c>
      <c r="B23" t="str">
        <f>"17.01.2011"</f>
        <v>17.01.2011</v>
      </c>
      <c r="C23" t="str">
        <f>"14.01.2011"</f>
        <v>14.01.2011</v>
      </c>
      <c r="D23" t="str">
        <f>"60.204,00"</f>
        <v>60.204,00</v>
      </c>
      <c r="E23" t="str">
        <f>"60.204,00"</f>
        <v>60.204,00</v>
      </c>
    </row>
    <row r="26" spans="1:5" x14ac:dyDescent="0.25">
      <c r="A26" t="str">
        <f>"6"</f>
        <v>6</v>
      </c>
      <c r="B26" t="str">
        <f>"SHS"</f>
        <v>SHS</v>
      </c>
      <c r="C26" t="str">
        <f>"65992466"</f>
        <v>65992466</v>
      </c>
    </row>
    <row r="27" spans="1:5" x14ac:dyDescent="0.25">
      <c r="A27" t="str">
        <f>"11.01.2011"</f>
        <v>11.01.2011</v>
      </c>
      <c r="B27" t="str">
        <f>"18.01.2011"</f>
        <v>18.01.2011</v>
      </c>
      <c r="C27" t="str">
        <f>"14.01.2011"</f>
        <v>14.01.2011</v>
      </c>
      <c r="D27" t="str">
        <f>"7.175,00"</f>
        <v>7.175,00</v>
      </c>
      <c r="E27" t="str">
        <f>"7.175,00"</f>
        <v>7.175,00</v>
      </c>
    </row>
    <row r="30" spans="1:5" x14ac:dyDescent="0.25">
      <c r="A30" t="str">
        <f>"7"</f>
        <v>7</v>
      </c>
      <c r="B30" t="str">
        <f>"ACTIVA s.r.o. Praha 9"</f>
        <v>ACTIVA s.r.o. Praha 9</v>
      </c>
      <c r="C30" t="str">
        <f>"48111198"</f>
        <v>48111198</v>
      </c>
    </row>
    <row r="31" spans="1:5" x14ac:dyDescent="0.25">
      <c r="A31" t="str">
        <f>"11.01.2011"</f>
        <v>11.01.2011</v>
      </c>
      <c r="B31" t="str">
        <f>"19.01.2011"</f>
        <v>19.01.2011</v>
      </c>
      <c r="C31" t="str">
        <f>"17.01.2011"</f>
        <v>17.01.2011</v>
      </c>
      <c r="D31" t="str">
        <f>"11.201,00"</f>
        <v>11.201,00</v>
      </c>
      <c r="E31" t="str">
        <f>"11.201,00"</f>
        <v>11.201,00</v>
      </c>
    </row>
    <row r="34" spans="1:5" x14ac:dyDescent="0.25">
      <c r="A34" t="str">
        <f>"8"</f>
        <v>8</v>
      </c>
      <c r="B34" t="str">
        <f>"Správa města Soběslavi"</f>
        <v>Správa města Soběslavi</v>
      </c>
      <c r="C34" t="str">
        <f>"26029987"</f>
        <v>26029987</v>
      </c>
    </row>
    <row r="35" spans="1:5" x14ac:dyDescent="0.25">
      <c r="A35" t="str">
        <f>"11.01.2011"</f>
        <v>11.01.2011</v>
      </c>
      <c r="B35" t="str">
        <f>"19.01.2011"</f>
        <v>19.01.2011</v>
      </c>
      <c r="C35" t="str">
        <f>"17.01.2011"</f>
        <v>17.01.2011</v>
      </c>
      <c r="D35" t="str">
        <f>"940.000,00"</f>
        <v>940.000,00</v>
      </c>
      <c r="E35" t="str">
        <f>"940.000,00"</f>
        <v>940.000,00</v>
      </c>
    </row>
    <row r="38" spans="1:5" x14ac:dyDescent="0.25">
      <c r="A38" t="str">
        <f>"9"</f>
        <v>9</v>
      </c>
      <c r="B38" t="str">
        <f>"Kvasar s.r.o. Zlín"</f>
        <v>Kvasar s.r.o. Zlín</v>
      </c>
      <c r="C38" t="str">
        <f>"00569135"</f>
        <v>00569135</v>
      </c>
    </row>
    <row r="39" spans="1:5" x14ac:dyDescent="0.25">
      <c r="A39" t="str">
        <f>"11.01.2011"</f>
        <v>11.01.2011</v>
      </c>
      <c r="B39" t="str">
        <f>"20.01.2011"</f>
        <v>20.01.2011</v>
      </c>
      <c r="C39" t="str">
        <f>"17.01.2011"</f>
        <v>17.01.2011</v>
      </c>
      <c r="D39" t="str">
        <f>"4.800,00"</f>
        <v>4.800,00</v>
      </c>
      <c r="E39" t="str">
        <f>"4.800,00"</f>
        <v>4.800,00</v>
      </c>
    </row>
    <row r="42" spans="1:5" x14ac:dyDescent="0.25">
      <c r="A42" t="str">
        <f>"10"</f>
        <v>10</v>
      </c>
      <c r="B42" t="str">
        <f>"Dana Adámková Soběslav"</f>
        <v>Dana Adámková Soběslav</v>
      </c>
      <c r="C42" t="str">
        <f>"71772839"</f>
        <v>71772839</v>
      </c>
    </row>
    <row r="43" spans="1:5" x14ac:dyDescent="0.25">
      <c r="A43" t="str">
        <f>"11.01.2011"</f>
        <v>11.01.2011</v>
      </c>
      <c r="B43" t="str">
        <f>"21.01.2011"</f>
        <v>21.01.2011</v>
      </c>
      <c r="C43" t="str">
        <f>"19.01.2011"</f>
        <v>19.01.2011</v>
      </c>
      <c r="D43" t="str">
        <f>"8.400,00"</f>
        <v>8.400,00</v>
      </c>
      <c r="E43" t="str">
        <f>"8.400,00"</f>
        <v>8.400,00</v>
      </c>
    </row>
    <row r="46" spans="1:5" x14ac:dyDescent="0.25">
      <c r="A46" t="str">
        <f>"11"</f>
        <v>11</v>
      </c>
      <c r="B46" t="str">
        <f>"KONICA MINOLTA s.r.o."</f>
        <v>KONICA MINOLTA s.r.o.</v>
      </c>
      <c r="C46" t="str">
        <f>"00176150"</f>
        <v>00176150</v>
      </c>
    </row>
    <row r="47" spans="1:5" x14ac:dyDescent="0.25">
      <c r="A47" t="str">
        <f>"17.01.2011"</f>
        <v>17.01.2011</v>
      </c>
      <c r="B47" t="str">
        <f>"19.01.2011"</f>
        <v>19.01.2011</v>
      </c>
      <c r="C47" t="str">
        <f>"17.01.2011"</f>
        <v>17.01.2011</v>
      </c>
      <c r="D47" t="str">
        <f>"361,10"</f>
        <v>361,10</v>
      </c>
      <c r="E47" t="str">
        <f>"361,10"</f>
        <v>361,10</v>
      </c>
    </row>
    <row r="50" spans="1:5" x14ac:dyDescent="0.25">
      <c r="A50" t="str">
        <f>"12"</f>
        <v>12</v>
      </c>
      <c r="B50" t="str">
        <f>"KONICA MINOLTA s.r.o."</f>
        <v>KONICA MINOLTA s.r.o.</v>
      </c>
      <c r="C50" t="str">
        <f>"00176150"</f>
        <v>00176150</v>
      </c>
    </row>
    <row r="51" spans="1:5" x14ac:dyDescent="0.25">
      <c r="A51" t="str">
        <f>"17.01.2011"</f>
        <v>17.01.2011</v>
      </c>
      <c r="B51" t="str">
        <f>"19.01.2011"</f>
        <v>19.01.2011</v>
      </c>
      <c r="C51" t="str">
        <f>"17.01.2011"</f>
        <v>17.01.2011</v>
      </c>
      <c r="D51" t="str">
        <f>"3.552,00"</f>
        <v>3.552,00</v>
      </c>
      <c r="E51" t="str">
        <f>"3.552,00"</f>
        <v>3.552,00</v>
      </c>
    </row>
    <row r="54" spans="1:5" x14ac:dyDescent="0.25">
      <c r="A54" t="str">
        <f>"13"</f>
        <v>13</v>
      </c>
      <c r="B54" t="str">
        <f>"KONICA MINOLTA s.r.o."</f>
        <v>KONICA MINOLTA s.r.o.</v>
      </c>
      <c r="C54" t="str">
        <f>"00176150"</f>
        <v>00176150</v>
      </c>
    </row>
    <row r="55" spans="1:5" x14ac:dyDescent="0.25">
      <c r="A55" t="str">
        <f>"17.01.2011"</f>
        <v>17.01.2011</v>
      </c>
      <c r="B55" t="str">
        <f>"19.01.2011"</f>
        <v>19.01.2011</v>
      </c>
      <c r="C55" t="str">
        <f>"17.01.2011"</f>
        <v>17.01.2011</v>
      </c>
      <c r="D55" t="str">
        <f>"1.716,00"</f>
        <v>1.716,00</v>
      </c>
      <c r="E55" t="str">
        <f>"1.716,00"</f>
        <v>1.716,00</v>
      </c>
    </row>
    <row r="58" spans="1:5" x14ac:dyDescent="0.25">
      <c r="A58" t="str">
        <f>"14"</f>
        <v>14</v>
      </c>
      <c r="B58" t="str">
        <f>"ADVICE.CZ s.r.o. Praha 4"</f>
        <v>ADVICE.CZ s.r.o. Praha 4</v>
      </c>
      <c r="C58" t="str">
        <f>"26212919"</f>
        <v>26212919</v>
      </c>
    </row>
    <row r="59" spans="1:5" x14ac:dyDescent="0.25">
      <c r="A59" t="str">
        <f>"17.01.2011"</f>
        <v>17.01.2011</v>
      </c>
      <c r="B59" t="str">
        <f>"25.01.2011"</f>
        <v>25.01.2011</v>
      </c>
      <c r="C59" t="str">
        <f>"24.01.2011"</f>
        <v>24.01.2011</v>
      </c>
      <c r="D59" t="str">
        <f>"2.700,00"</f>
        <v>2.700,00</v>
      </c>
      <c r="E59" t="str">
        <f>"2.700,00"</f>
        <v>2.700,00</v>
      </c>
    </row>
    <row r="61" spans="1:5" x14ac:dyDescent="0.25">
      <c r="A61" t="str">
        <f>"Poř.č.fak."</f>
        <v>Poř.č.fak.</v>
      </c>
      <c r="B61" t="str">
        <f>"Dodavatel"</f>
        <v>Dodavatel</v>
      </c>
      <c r="C61" t="str">
        <f>"IČO"</f>
        <v>IČO</v>
      </c>
    </row>
    <row r="62" spans="1:5" x14ac:dyDescent="0.25">
      <c r="A62" t="str">
        <f>"Došla"</f>
        <v>Došla</v>
      </c>
      <c r="B62" t="str">
        <f>"Splatná"</f>
        <v>Splatná</v>
      </c>
      <c r="C62" t="str">
        <f>"Zaplacená"</f>
        <v>Zaplacená</v>
      </c>
      <c r="D62" t="str">
        <f>"Fakt.částka"</f>
        <v>Fakt.částka</v>
      </c>
      <c r="E62" t="str">
        <f>"Celk.zaplaceno"</f>
        <v>Celk.zaplaceno</v>
      </c>
    </row>
    <row r="63" spans="1:5" x14ac:dyDescent="0.25">
      <c r="B63" t="str">
        <f>"Poznámka"</f>
        <v>Poznámka</v>
      </c>
    </row>
    <row r="64" spans="1:5" x14ac:dyDescent="0.25">
      <c r="A64" t="str">
        <f>"**********"</f>
        <v>**********</v>
      </c>
      <c r="B64" t="str">
        <f>"**************************"</f>
        <v>**************************</v>
      </c>
      <c r="C64" t="str">
        <f>"***********"</f>
        <v>***********</v>
      </c>
      <c r="D64" t="str">
        <f>"***************"</f>
        <v>***************</v>
      </c>
      <c r="E64" t="str">
        <f>"***************"</f>
        <v>***************</v>
      </c>
    </row>
    <row r="66" spans="1:5" x14ac:dyDescent="0.25">
      <c r="A66" t="str">
        <f>"15"</f>
        <v>15</v>
      </c>
      <c r="B66" t="str">
        <f>"INO s.r.o. Děčín"</f>
        <v>INO s.r.o. Děčín</v>
      </c>
      <c r="C66" t="str">
        <f>"27263517"</f>
        <v>27263517</v>
      </c>
    </row>
    <row r="67" spans="1:5" x14ac:dyDescent="0.25">
      <c r="A67" t="str">
        <f>"17.01.2011"</f>
        <v>17.01.2011</v>
      </c>
      <c r="B67" t="str">
        <f>"27.01.2011"</f>
        <v>27.01.2011</v>
      </c>
      <c r="C67" t="str">
        <f>"25.01.2011"</f>
        <v>25.01.2011</v>
      </c>
      <c r="D67" t="str">
        <f>"2.243,00"</f>
        <v>2.243,00</v>
      </c>
      <c r="E67" t="str">
        <f>"2.243,00"</f>
        <v>2.243,00</v>
      </c>
    </row>
    <row r="70" spans="1:5" x14ac:dyDescent="0.25">
      <c r="A70" t="str">
        <f>"16"</f>
        <v>16</v>
      </c>
      <c r="B70" t="str">
        <f>"ASKA-ing.arch. Jan Stach"</f>
        <v>ASKA-ing.arch. Jan Stach</v>
      </c>
      <c r="C70" t="str">
        <f>"10323406"</f>
        <v>10323406</v>
      </c>
    </row>
    <row r="71" spans="1:5" x14ac:dyDescent="0.25">
      <c r="A71" t="str">
        <f>"19.01.2011"</f>
        <v>19.01.2011</v>
      </c>
      <c r="B71" t="str">
        <f>"17.01.2011"</f>
        <v>17.01.2011</v>
      </c>
      <c r="C71" t="str">
        <f>"19.01.2011"</f>
        <v>19.01.2011</v>
      </c>
      <c r="D71" t="str">
        <f>"300.000,00"</f>
        <v>300.000,00</v>
      </c>
      <c r="E71" t="str">
        <f>"300.000,00"</f>
        <v>300.000,00</v>
      </c>
    </row>
    <row r="74" spans="1:5" x14ac:dyDescent="0.25">
      <c r="A74" t="str">
        <f>"17"</f>
        <v>17</v>
      </c>
      <c r="B74" t="str">
        <f>"Gordic  s.r.o. Jihlava"</f>
        <v>Gordic  s.r.o. Jihlava</v>
      </c>
      <c r="C74" t="str">
        <f>"47903783"</f>
        <v>47903783</v>
      </c>
    </row>
    <row r="75" spans="1:5" x14ac:dyDescent="0.25">
      <c r="A75" t="str">
        <f>"24.01.2011"</f>
        <v>24.01.2011</v>
      </c>
      <c r="B75" t="str">
        <f>"15.01.2011"</f>
        <v>15.01.2011</v>
      </c>
      <c r="C75" t="str">
        <f>"24.01.2011"</f>
        <v>24.01.2011</v>
      </c>
      <c r="D75" t="str">
        <f>"6.588,00"</f>
        <v>6.588,00</v>
      </c>
      <c r="E75" t="str">
        <f>"6.588,00"</f>
        <v>6.588,00</v>
      </c>
    </row>
    <row r="78" spans="1:5" x14ac:dyDescent="0.25">
      <c r="A78" t="str">
        <f>"18"</f>
        <v>18</v>
      </c>
      <c r="B78" t="str">
        <f>"YAMAKO  ing.Janeček"</f>
        <v>YAMAKO  ing.Janeček</v>
      </c>
      <c r="C78" t="str">
        <f>"48463850"</f>
        <v>48463850</v>
      </c>
    </row>
    <row r="79" spans="1:5" x14ac:dyDescent="0.25">
      <c r="A79" t="str">
        <f>"24.01.2011"</f>
        <v>24.01.2011</v>
      </c>
      <c r="B79" t="str">
        <f>"21.01.2011"</f>
        <v>21.01.2011</v>
      </c>
      <c r="C79" t="str">
        <f>"24.01.2011"</f>
        <v>24.01.2011</v>
      </c>
      <c r="D79" t="str">
        <f>"9.600,00"</f>
        <v>9.600,00</v>
      </c>
      <c r="E79" t="str">
        <f>"9.600,00"</f>
        <v>9.600,00</v>
      </c>
    </row>
    <row r="82" spans="1:5" x14ac:dyDescent="0.25">
      <c r="A82" t="str">
        <f>"19"</f>
        <v>19</v>
      </c>
      <c r="B82" t="str">
        <f>"Luboš Černý Soběslav"</f>
        <v>Luboš Černý Soběslav</v>
      </c>
      <c r="C82" t="str">
        <f>"49034812"</f>
        <v>49034812</v>
      </c>
    </row>
    <row r="83" spans="1:5" x14ac:dyDescent="0.25">
      <c r="A83" t="str">
        <f>"24.01.2011"</f>
        <v>24.01.2011</v>
      </c>
      <c r="B83" t="str">
        <f>"23.01.2011"</f>
        <v>23.01.2011</v>
      </c>
      <c r="C83" t="str">
        <f>"24.01.2011"</f>
        <v>24.01.2011</v>
      </c>
      <c r="D83" t="str">
        <f>"22.958,00"</f>
        <v>22.958,00</v>
      </c>
      <c r="E83" t="str">
        <f>"22.958,00"</f>
        <v>22.958,00</v>
      </c>
    </row>
    <row r="86" spans="1:5" x14ac:dyDescent="0.25">
      <c r="A86" t="str">
        <f>"20"</f>
        <v>20</v>
      </c>
      <c r="B86" t="str">
        <f>"Pors software"</f>
        <v>Pors software</v>
      </c>
      <c r="C86" t="str">
        <f>"25280741"</f>
        <v>25280741</v>
      </c>
    </row>
    <row r="87" spans="1:5" x14ac:dyDescent="0.25">
      <c r="A87" t="str">
        <f>"24.01.2011"</f>
        <v>24.01.2011</v>
      </c>
      <c r="B87" t="str">
        <f>"25.01.2011"</f>
        <v>25.01.2011</v>
      </c>
      <c r="C87" t="str">
        <f>"24.01.2011"</f>
        <v>24.01.2011</v>
      </c>
      <c r="D87" t="str">
        <f>"7.469,00"</f>
        <v>7.469,00</v>
      </c>
      <c r="E87" t="str">
        <f>"7.469,00"</f>
        <v>7.469,00</v>
      </c>
    </row>
    <row r="90" spans="1:5" x14ac:dyDescent="0.25">
      <c r="A90" t="str">
        <f>"21"</f>
        <v>21</v>
      </c>
      <c r="B90" t="str">
        <f>"Správa města Soběslavi"</f>
        <v>Správa města Soběslavi</v>
      </c>
      <c r="C90" t="str">
        <f>"26029987"</f>
        <v>26029987</v>
      </c>
    </row>
    <row r="91" spans="1:5" x14ac:dyDescent="0.25">
      <c r="A91" t="str">
        <f>"25.01.2011"</f>
        <v>25.01.2011</v>
      </c>
      <c r="B91" t="str">
        <f>"27.01.2011"</f>
        <v>27.01.2011</v>
      </c>
      <c r="C91" t="str">
        <f>"25.01.2011"</f>
        <v>25.01.2011</v>
      </c>
      <c r="D91" t="str">
        <f>"7.591,00"</f>
        <v>7.591,00</v>
      </c>
      <c r="E91" t="str">
        <f>"7.591,00"</f>
        <v>7.591,00</v>
      </c>
    </row>
    <row r="94" spans="1:5" x14ac:dyDescent="0.25">
      <c r="A94" t="str">
        <f>"22"</f>
        <v>22</v>
      </c>
      <c r="B94" t="str">
        <f>"GIGACOMPUTER Č.B."</f>
        <v>GIGACOMPUTER Č.B.</v>
      </c>
      <c r="C94" t="str">
        <f>"28080289"</f>
        <v>28080289</v>
      </c>
    </row>
    <row r="95" spans="1:5" x14ac:dyDescent="0.25">
      <c r="A95" t="str">
        <f>"25.01.2011"</f>
        <v>25.01.2011</v>
      </c>
      <c r="B95" t="str">
        <f>"27.10.2011"</f>
        <v>27.10.2011</v>
      </c>
      <c r="C95" t="str">
        <f>"25.01.2011"</f>
        <v>25.01.2011</v>
      </c>
      <c r="D95" t="str">
        <f>"8.043,00"</f>
        <v>8.043,00</v>
      </c>
      <c r="E95" t="str">
        <f>"8.043,00"</f>
        <v>8.043,00</v>
      </c>
    </row>
    <row r="98" spans="1:5" x14ac:dyDescent="0.25">
      <c r="A98" t="str">
        <f>"23"</f>
        <v>23</v>
      </c>
      <c r="B98" t="str">
        <f>"GIGACOMPUTER Č.B."</f>
        <v>GIGACOMPUTER Č.B.</v>
      </c>
      <c r="C98" t="str">
        <f>"28080289"</f>
        <v>28080289</v>
      </c>
    </row>
    <row r="99" spans="1:5" x14ac:dyDescent="0.25">
      <c r="A99" t="str">
        <f>"26.01.2011"</f>
        <v>26.01.2011</v>
      </c>
      <c r="B99" t="str">
        <f>"28.01.2011"</f>
        <v>28.01.2011</v>
      </c>
      <c r="C99" t="str">
        <f>"27.01.2011"</f>
        <v>27.01.2011</v>
      </c>
      <c r="D99" t="str">
        <f>"6.000,00"</f>
        <v>6.000,00</v>
      </c>
      <c r="E99" t="str">
        <f>"6.000,00"</f>
        <v>6.000,00</v>
      </c>
    </row>
    <row r="102" spans="1:5" x14ac:dyDescent="0.25">
      <c r="A102" t="str">
        <f>"24"</f>
        <v>24</v>
      </c>
      <c r="B102" t="str">
        <f>"Ing. Jiří Lagner  Soběsla"</f>
        <v>Ing. Jiří Lagner  Soběsla</v>
      </c>
      <c r="C102" t="str">
        <f>"10326227"</f>
        <v>10326227</v>
      </c>
    </row>
    <row r="103" spans="1:5" x14ac:dyDescent="0.25">
      <c r="A103" t="str">
        <f>"26.01.2011"</f>
        <v>26.01.2011</v>
      </c>
      <c r="B103" t="str">
        <f>"28.01.2011"</f>
        <v>28.01.2011</v>
      </c>
      <c r="C103" t="str">
        <f>"27.01.2011"</f>
        <v>27.01.2011</v>
      </c>
      <c r="D103" t="str">
        <f>"78.000,00"</f>
        <v>78.000,00</v>
      </c>
      <c r="E103" t="str">
        <f>"78.000,00"</f>
        <v>78.000,00</v>
      </c>
    </row>
    <row r="106" spans="1:5" x14ac:dyDescent="0.25">
      <c r="A106" t="str">
        <f>"25"</f>
        <v>25</v>
      </c>
      <c r="B106" t="str">
        <f>"QASAR s.r.o. Mažice"</f>
        <v>QASAR s.r.o. Mažice</v>
      </c>
      <c r="C106" t="str">
        <f>"25192469"</f>
        <v>25192469</v>
      </c>
    </row>
    <row r="107" spans="1:5" x14ac:dyDescent="0.25">
      <c r="A107" t="str">
        <f>"27.01.2011"</f>
        <v>27.01.2011</v>
      </c>
      <c r="B107" t="str">
        <f>"31.01.2011"</f>
        <v>31.01.2011</v>
      </c>
      <c r="C107" t="str">
        <f>"27.01.2011"</f>
        <v>27.01.2011</v>
      </c>
      <c r="D107" t="str">
        <f>"4.800,00"</f>
        <v>4.800,00</v>
      </c>
      <c r="E107" t="str">
        <f>"4.800,00"</f>
        <v>4.800,00</v>
      </c>
    </row>
    <row r="110" spans="1:5" x14ac:dyDescent="0.25">
      <c r="A110" t="str">
        <f>"26"</f>
        <v>26</v>
      </c>
      <c r="B110" t="str">
        <f>"FORESTA SG a.s. Vsetín"</f>
        <v>FORESTA SG a.s. Vsetín</v>
      </c>
      <c r="C110" t="str">
        <f>"60735384"</f>
        <v>60735384</v>
      </c>
    </row>
    <row r="111" spans="1:5" x14ac:dyDescent="0.25">
      <c r="A111" t="str">
        <f>"27.01.2011"</f>
        <v>27.01.2011</v>
      </c>
      <c r="B111" t="str">
        <f>"31.01.2011"</f>
        <v>31.01.2011</v>
      </c>
      <c r="C111" t="str">
        <f>"27.01.2011"</f>
        <v>27.01.2011</v>
      </c>
      <c r="D111" t="str">
        <f>"12.720,00"</f>
        <v>12.720,00</v>
      </c>
      <c r="E111" t="str">
        <f>"12.720,00"</f>
        <v>12.720,00</v>
      </c>
    </row>
    <row r="114" spans="1:5" x14ac:dyDescent="0.25">
      <c r="A114" t="str">
        <f>"27"</f>
        <v>27</v>
      </c>
      <c r="B114" t="str">
        <f>"Ing.arch. Hruška Branišov"</f>
        <v>Ing.arch. Hruška Branišov</v>
      </c>
      <c r="C114" t="str">
        <f>"72129484"</f>
        <v>72129484</v>
      </c>
    </row>
    <row r="115" spans="1:5" x14ac:dyDescent="0.25">
      <c r="A115" t="str">
        <f>"27.01.2011"</f>
        <v>27.01.2011</v>
      </c>
      <c r="B115" t="str">
        <f>"24.01.2011"</f>
        <v>24.01.2011</v>
      </c>
      <c r="C115" t="str">
        <f>"20.01.2011"</f>
        <v>20.01.2011</v>
      </c>
      <c r="D115" t="str">
        <f>"7.350,00"</f>
        <v>7.350,00</v>
      </c>
      <c r="E115" t="str">
        <f>"7.350,00"</f>
        <v>7.350,00</v>
      </c>
    </row>
    <row r="118" spans="1:5" x14ac:dyDescent="0.25">
      <c r="A118" t="str">
        <f>"28"</f>
        <v>28</v>
      </c>
      <c r="B118" t="str">
        <f>"Ing.Libor Kníže Malšice"</f>
        <v>Ing.Libor Kníže Malšice</v>
      </c>
      <c r="C118" t="str">
        <f>"74585029"</f>
        <v>74585029</v>
      </c>
    </row>
    <row r="119" spans="1:5" x14ac:dyDescent="0.25">
      <c r="A119" t="str">
        <f>"27.01.2011"</f>
        <v>27.01.2011</v>
      </c>
      <c r="B119" t="str">
        <f>"01.02.2011"</f>
        <v>01.02.2011</v>
      </c>
      <c r="C119" t="str">
        <f>"31.01.2011"</f>
        <v>31.01.2011</v>
      </c>
      <c r="D119" t="str">
        <f>"19.500,00"</f>
        <v>19.500,00</v>
      </c>
      <c r="E119" t="str">
        <f>"19.500,00"</f>
        <v>19.500,00</v>
      </c>
    </row>
    <row r="121" spans="1:5" x14ac:dyDescent="0.25">
      <c r="A121" t="str">
        <f>"Poř.č.fak."</f>
        <v>Poř.č.fak.</v>
      </c>
      <c r="B121" t="str">
        <f>"Dodavatel"</f>
        <v>Dodavatel</v>
      </c>
      <c r="C121" t="str">
        <f>"IČO"</f>
        <v>IČO</v>
      </c>
    </row>
    <row r="122" spans="1:5" x14ac:dyDescent="0.25">
      <c r="A122" t="str">
        <f>"Došla"</f>
        <v>Došla</v>
      </c>
      <c r="B122" t="str">
        <f>"Splatná"</f>
        <v>Splatná</v>
      </c>
      <c r="C122" t="str">
        <f>"Zaplacená"</f>
        <v>Zaplacená</v>
      </c>
      <c r="D122" t="str">
        <f>"Fakt.částka"</f>
        <v>Fakt.částka</v>
      </c>
      <c r="E122" t="str">
        <f>"Celk.zaplaceno"</f>
        <v>Celk.zaplaceno</v>
      </c>
    </row>
    <row r="123" spans="1:5" x14ac:dyDescent="0.25">
      <c r="B123" t="str">
        <f>"Poznámka"</f>
        <v>Poznámka</v>
      </c>
    </row>
    <row r="124" spans="1:5" x14ac:dyDescent="0.25">
      <c r="A124" t="str">
        <f>"**********"</f>
        <v>**********</v>
      </c>
      <c r="B124" t="str">
        <f>"**************************"</f>
        <v>**************************</v>
      </c>
      <c r="C124" t="str">
        <f>"***********"</f>
        <v>***********</v>
      </c>
      <c r="D124" t="str">
        <f>"***************"</f>
        <v>***************</v>
      </c>
      <c r="E124" t="str">
        <f>"***************"</f>
        <v>***************</v>
      </c>
    </row>
    <row r="126" spans="1:5" x14ac:dyDescent="0.25">
      <c r="A126" t="str">
        <f>"29"</f>
        <v>29</v>
      </c>
      <c r="B126" t="str">
        <f>"Gordic  s.r.o. Jihlava"</f>
        <v>Gordic  s.r.o. Jihlava</v>
      </c>
      <c r="C126" t="str">
        <f>"47903783"</f>
        <v>47903783</v>
      </c>
    </row>
    <row r="127" spans="1:5" x14ac:dyDescent="0.25">
      <c r="A127" t="str">
        <f>"27.01.2011"</f>
        <v>27.01.2011</v>
      </c>
      <c r="B127" t="str">
        <f>"02.02.2011"</f>
        <v>02.02.2011</v>
      </c>
      <c r="C127" t="str">
        <f>"01.02.2011"</f>
        <v>01.02.2011</v>
      </c>
      <c r="D127" t="str">
        <f>"2.803,20"</f>
        <v>2.803,20</v>
      </c>
      <c r="E127" t="str">
        <f>"2.803,20"</f>
        <v>2.803,20</v>
      </c>
    </row>
    <row r="130" spans="1:5" x14ac:dyDescent="0.25">
      <c r="A130" t="str">
        <f>"30"</f>
        <v>30</v>
      </c>
      <c r="B130" t="str">
        <f>"Ing. Popela Č. Budějovice"</f>
        <v>Ing. Popela Č. Budějovice</v>
      </c>
      <c r="C130" t="str">
        <f>"42414679"</f>
        <v>42414679</v>
      </c>
    </row>
    <row r="131" spans="1:5" x14ac:dyDescent="0.25">
      <c r="A131" t="str">
        <f>"27.01.2011"</f>
        <v>27.01.2011</v>
      </c>
      <c r="B131" t="str">
        <f>"02.02.2011"</f>
        <v>02.02.2011</v>
      </c>
      <c r="C131" t="str">
        <f>"01.02.2011"</f>
        <v>01.02.2011</v>
      </c>
      <c r="D131" t="str">
        <f>"13.468,80"</f>
        <v>13.468,80</v>
      </c>
      <c r="E131" t="str">
        <f>"13.468,80"</f>
        <v>13.468,80</v>
      </c>
    </row>
    <row r="134" spans="1:5" x14ac:dyDescent="0.25">
      <c r="A134" t="str">
        <f>"31"</f>
        <v>31</v>
      </c>
      <c r="B134" t="str">
        <f>"Správa města Soběslavi"</f>
        <v>Správa města Soběslavi</v>
      </c>
      <c r="C134" t="str">
        <f>"26029987"</f>
        <v>26029987</v>
      </c>
    </row>
    <row r="135" spans="1:5" x14ac:dyDescent="0.25">
      <c r="A135" t="str">
        <f>"27.01.2011"</f>
        <v>27.01.2011</v>
      </c>
      <c r="B135" t="str">
        <f>"03.02.2011"</f>
        <v>03.02.2011</v>
      </c>
      <c r="C135" t="str">
        <f>"01.02.2011"</f>
        <v>01.02.2011</v>
      </c>
      <c r="D135" t="str">
        <f>"5.376,00"</f>
        <v>5.376,00</v>
      </c>
      <c r="E135" t="str">
        <f>"5.376,00"</f>
        <v>5.376,00</v>
      </c>
    </row>
    <row r="138" spans="1:5" x14ac:dyDescent="0.25">
      <c r="A138" t="str">
        <f>"32"</f>
        <v>32</v>
      </c>
      <c r="B138" t="str">
        <f>"Správa města Soběslavi"</f>
        <v>Správa města Soběslavi</v>
      </c>
      <c r="C138" t="str">
        <f>"26029987"</f>
        <v>26029987</v>
      </c>
    </row>
    <row r="139" spans="1:5" x14ac:dyDescent="0.25">
      <c r="A139" t="str">
        <f>"27.01.2011"</f>
        <v>27.01.2011</v>
      </c>
      <c r="B139" t="str">
        <f>"03.02.2011"</f>
        <v>03.02.2011</v>
      </c>
      <c r="C139" t="str">
        <f>"01.02.2011"</f>
        <v>01.02.2011</v>
      </c>
      <c r="D139" t="str">
        <f>"29.407,00"</f>
        <v>29.407,00</v>
      </c>
      <c r="E139" t="str">
        <f>"29.407,00"</f>
        <v>29.407,00</v>
      </c>
    </row>
    <row r="142" spans="1:5" x14ac:dyDescent="0.25">
      <c r="A142" t="str">
        <f>"33"</f>
        <v>33</v>
      </c>
      <c r="B142" t="str">
        <f>"MiCoS SOFTWARE  Ostrava"</f>
        <v>MiCoS SOFTWARE  Ostrava</v>
      </c>
      <c r="C142" t="str">
        <f>"25900749"</f>
        <v>25900749</v>
      </c>
    </row>
    <row r="143" spans="1:5" x14ac:dyDescent="0.25">
      <c r="A143" t="str">
        <f>"27.01.2011"</f>
        <v>27.01.2011</v>
      </c>
      <c r="B143" t="str">
        <f>"04.02.2011"</f>
        <v>04.02.2011</v>
      </c>
      <c r="C143" t="str">
        <f>"03.02.2011"</f>
        <v>03.02.2011</v>
      </c>
      <c r="D143" t="str">
        <f>"18.900,00"</f>
        <v>18.900,00</v>
      </c>
      <c r="E143" t="str">
        <f>"18.900,00"</f>
        <v>18.900,00</v>
      </c>
    </row>
    <row r="146" spans="1:5" x14ac:dyDescent="0.25">
      <c r="A146" t="str">
        <f>"34"</f>
        <v>34</v>
      </c>
      <c r="B146" t="str">
        <f>"ČIIA Praha 2"</f>
        <v>ČIIA Praha 2</v>
      </c>
      <c r="C146" t="str">
        <f>"62932632"</f>
        <v>62932632</v>
      </c>
    </row>
    <row r="147" spans="1:5" x14ac:dyDescent="0.25">
      <c r="A147" t="str">
        <f>"27.01.2011"</f>
        <v>27.01.2011</v>
      </c>
      <c r="B147" t="str">
        <f>"06.02.2011"</f>
        <v>06.02.2011</v>
      </c>
      <c r="C147" t="str">
        <f>"03.02.2011"</f>
        <v>03.02.2011</v>
      </c>
      <c r="D147" t="str">
        <f>"3.000,00"</f>
        <v>3.000,00</v>
      </c>
      <c r="E147" t="str">
        <f>"3.000,00"</f>
        <v>3.000,00</v>
      </c>
    </row>
    <row r="150" spans="1:5" x14ac:dyDescent="0.25">
      <c r="A150" t="str">
        <f>"35"</f>
        <v>35</v>
      </c>
      <c r="B150" t="str">
        <f>"Telefónica 02 CR a.s."</f>
        <v>Telefónica 02 CR a.s.</v>
      </c>
      <c r="C150" t="str">
        <f>"60193336"</f>
        <v>60193336</v>
      </c>
    </row>
    <row r="151" spans="1:5" x14ac:dyDescent="0.25">
      <c r="A151" t="str">
        <f>"31.01.2011"</f>
        <v>31.01.2011</v>
      </c>
      <c r="B151" t="str">
        <f>"02.02.2011"</f>
        <v>02.02.2011</v>
      </c>
      <c r="C151" t="str">
        <f>"31.01.2011"</f>
        <v>31.01.2011</v>
      </c>
      <c r="D151" t="str">
        <f>"1,20"</f>
        <v>1,20</v>
      </c>
      <c r="E151" t="str">
        <f>"1,20"</f>
        <v>1,20</v>
      </c>
    </row>
    <row r="154" spans="1:5" x14ac:dyDescent="0.25">
      <c r="A154" t="str">
        <f>"36"</f>
        <v>36</v>
      </c>
      <c r="B154" t="str">
        <f>"Telefónica 02 CR a.s."</f>
        <v>Telefónica 02 CR a.s.</v>
      </c>
      <c r="C154" t="str">
        <f>"60193336"</f>
        <v>60193336</v>
      </c>
    </row>
    <row r="155" spans="1:5" x14ac:dyDescent="0.25">
      <c r="A155" t="str">
        <f>"31.01.2011"</f>
        <v>31.01.2011</v>
      </c>
      <c r="B155" t="str">
        <f>"28.01.2011"</f>
        <v>28.01.2011</v>
      </c>
      <c r="C155" t="str">
        <f>"31.01.2011"</f>
        <v>31.01.2011</v>
      </c>
      <c r="D155" t="str">
        <f>"4.767,08"</f>
        <v>4.767,08</v>
      </c>
      <c r="E155" t="str">
        <f>"4.767,08"</f>
        <v>4.767,08</v>
      </c>
    </row>
    <row r="158" spans="1:5" x14ac:dyDescent="0.25">
      <c r="A158" t="str">
        <f>"37"</f>
        <v>37</v>
      </c>
      <c r="B158" t="str">
        <f>"VITA software s.r.o. Prah"</f>
        <v>VITA software s.r.o. Prah</v>
      </c>
      <c r="C158" t="str">
        <f>"61060631"</f>
        <v>61060631</v>
      </c>
    </row>
    <row r="159" spans="1:5" x14ac:dyDescent="0.25">
      <c r="A159" t="str">
        <f>"31.01.2011"</f>
        <v>31.01.2011</v>
      </c>
      <c r="B159" t="str">
        <f>"29.01.2011"</f>
        <v>29.01.2011</v>
      </c>
      <c r="C159" t="str">
        <f>"31.01.2011"</f>
        <v>31.01.2011</v>
      </c>
      <c r="D159" t="str">
        <f>"14.760,00"</f>
        <v>14.760,00</v>
      </c>
      <c r="E159" t="str">
        <f>"14.760,00"</f>
        <v>14.760,00</v>
      </c>
    </row>
    <row r="162" spans="1:5" x14ac:dyDescent="0.25">
      <c r="A162" t="str">
        <f>"38"</f>
        <v>38</v>
      </c>
      <c r="B162" t="str">
        <f>"Autimo CZ Černošice"</f>
        <v>Autimo CZ Černošice</v>
      </c>
      <c r="C162" t="str">
        <f>"28512561"</f>
        <v>28512561</v>
      </c>
    </row>
    <row r="163" spans="1:5" x14ac:dyDescent="0.25">
      <c r="A163" t="str">
        <f>"31.01.2011"</f>
        <v>31.01.2011</v>
      </c>
      <c r="B163" t="str">
        <f>"31.01.2011"</f>
        <v>31.01.2011</v>
      </c>
      <c r="C163" t="str">
        <f>"31.01.2011"</f>
        <v>31.01.2011</v>
      </c>
      <c r="D163" t="str">
        <f>"1.080,00"</f>
        <v>1.080,00</v>
      </c>
      <c r="E163" t="str">
        <f>"1.080,00"</f>
        <v>1.080,00</v>
      </c>
    </row>
    <row r="166" spans="1:5" x14ac:dyDescent="0.25">
      <c r="A166" t="str">
        <f>"39"</f>
        <v>39</v>
      </c>
      <c r="B166" t="str">
        <f>"Jednota OD Tábor"</f>
        <v>Jednota OD Tábor</v>
      </c>
      <c r="C166" t="str">
        <f>"00031925"</f>
        <v>00031925</v>
      </c>
    </row>
    <row r="167" spans="1:5" x14ac:dyDescent="0.25">
      <c r="A167" t="str">
        <f>"31.01.2011"</f>
        <v>31.01.2011</v>
      </c>
      <c r="B167" t="str">
        <f>"03.02.2011"</f>
        <v>03.02.2011</v>
      </c>
      <c r="C167" t="str">
        <f>"01.02.2011"</f>
        <v>01.02.2011</v>
      </c>
      <c r="D167" t="str">
        <f>"2.042,20"</f>
        <v>2.042,20</v>
      </c>
      <c r="E167" t="str">
        <f>"2.042,20"</f>
        <v>2.042,20</v>
      </c>
    </row>
    <row r="170" spans="1:5" x14ac:dyDescent="0.25">
      <c r="A170" t="str">
        <f>"40"</f>
        <v>40</v>
      </c>
      <c r="B170" t="str">
        <f>"E.ON  Energie a.s. Č.B."</f>
        <v>E.ON  Energie a.s. Č.B.</v>
      </c>
      <c r="C170" t="str">
        <f>"26078201"</f>
        <v>26078201</v>
      </c>
    </row>
    <row r="171" spans="1:5" x14ac:dyDescent="0.25">
      <c r="A171" t="str">
        <f>"31.01.2011"</f>
        <v>31.01.2011</v>
      </c>
      <c r="B171" t="str">
        <f>"08.02.2011"</f>
        <v>08.02.2011</v>
      </c>
      <c r="C171" t="str">
        <f>"04.02.2011"</f>
        <v>04.02.2011</v>
      </c>
      <c r="D171" t="str">
        <f>"8.278,00"</f>
        <v>8.278,00</v>
      </c>
      <c r="E171" t="str">
        <f>"8.278,00"</f>
        <v>8.278,00</v>
      </c>
    </row>
    <row r="174" spans="1:5" x14ac:dyDescent="0.25">
      <c r="A174" t="str">
        <f>"41"</f>
        <v>41</v>
      </c>
      <c r="B174" t="str">
        <f>"Marie Vodáková Soběslav"</f>
        <v>Marie Vodáková Soběslav</v>
      </c>
      <c r="C174" t="str">
        <f>"72190655"</f>
        <v>72190655</v>
      </c>
    </row>
    <row r="175" spans="1:5" x14ac:dyDescent="0.25">
      <c r="A175" t="str">
        <f>"31.01.2011"</f>
        <v>31.01.2011</v>
      </c>
      <c r="B175" t="str">
        <f>"13.02.2011"</f>
        <v>13.02.2011</v>
      </c>
      <c r="C175" t="str">
        <f>"08.02.2011"</f>
        <v>08.02.2011</v>
      </c>
      <c r="D175" t="str">
        <f>"7.776,00"</f>
        <v>7.776,00</v>
      </c>
      <c r="E175" t="str">
        <f>"7.776,00"</f>
        <v>7.776,00</v>
      </c>
    </row>
    <row r="178" spans="1:5" x14ac:dyDescent="0.25">
      <c r="A178" t="str">
        <f>"42"</f>
        <v>42</v>
      </c>
      <c r="B178" t="str">
        <f>"Ing.Dušan Olejár Praha"</f>
        <v>Ing.Dušan Olejár Praha</v>
      </c>
      <c r="C178" t="str">
        <f>"60453443"</f>
        <v>60453443</v>
      </c>
    </row>
    <row r="179" spans="1:5" x14ac:dyDescent="0.25">
      <c r="A179" t="str">
        <f>"31.01.2011"</f>
        <v>31.01.2011</v>
      </c>
      <c r="B179" t="str">
        <f>"21.02.2011"</f>
        <v>21.02.2011</v>
      </c>
      <c r="C179" t="str">
        <f>"17.02.2011"</f>
        <v>17.02.2011</v>
      </c>
      <c r="D179" t="str">
        <f>"7.788,00"</f>
        <v>7.788,00</v>
      </c>
      <c r="E179" t="str">
        <f>"7.788,00"</f>
        <v>7.788,00</v>
      </c>
    </row>
    <row r="181" spans="1:5" x14ac:dyDescent="0.25">
      <c r="A181" t="str">
        <f>"Poř.č.fak."</f>
        <v>Poř.č.fak.</v>
      </c>
      <c r="B181" t="str">
        <f>"Dodavatel"</f>
        <v>Dodavatel</v>
      </c>
      <c r="C181" t="str">
        <f>"IČO"</f>
        <v>IČO</v>
      </c>
    </row>
    <row r="182" spans="1:5" x14ac:dyDescent="0.25">
      <c r="A182" t="str">
        <f>"Došla"</f>
        <v>Došla</v>
      </c>
      <c r="B182" t="str">
        <f>"Splatná"</f>
        <v>Splatná</v>
      </c>
      <c r="C182" t="str">
        <f>"Zaplacená"</f>
        <v>Zaplacená</v>
      </c>
      <c r="D182" t="str">
        <f>"Fakt.částka"</f>
        <v>Fakt.částka</v>
      </c>
      <c r="E182" t="str">
        <f>"Celk.zaplaceno"</f>
        <v>Celk.zaplaceno</v>
      </c>
    </row>
    <row r="183" spans="1:5" x14ac:dyDescent="0.25">
      <c r="B183" t="str">
        <f>"Poznámka"</f>
        <v>Poznámka</v>
      </c>
    </row>
    <row r="184" spans="1:5" x14ac:dyDescent="0.25">
      <c r="A184" t="str">
        <f>"**********"</f>
        <v>**********</v>
      </c>
      <c r="B184" t="str">
        <f>"**************************"</f>
        <v>**************************</v>
      </c>
      <c r="C184" t="str">
        <f>"***********"</f>
        <v>***********</v>
      </c>
      <c r="D184" t="str">
        <f>"***************"</f>
        <v>***************</v>
      </c>
      <c r="E184" t="str">
        <f>"***************"</f>
        <v>***************</v>
      </c>
    </row>
    <row r="186" spans="1:5" x14ac:dyDescent="0.25">
      <c r="A186" t="str">
        <f>"43"</f>
        <v>43</v>
      </c>
      <c r="B186" t="str">
        <f>"Ladislav Prchlík Klempíř"</f>
        <v>Ladislav Prchlík Klempíř</v>
      </c>
      <c r="C186" t="str">
        <f>"73479080"</f>
        <v>73479080</v>
      </c>
    </row>
    <row r="187" spans="1:5" x14ac:dyDescent="0.25">
      <c r="A187" t="str">
        <f>"31.01.2011"</f>
        <v>31.01.2011</v>
      </c>
      <c r="B187" t="str">
        <f>"05.02.2011"</f>
        <v>05.02.2011</v>
      </c>
      <c r="C187" t="str">
        <f>"03.02.2011"</f>
        <v>03.02.2011</v>
      </c>
      <c r="D187" t="str">
        <f>"6.846,00"</f>
        <v>6.846,00</v>
      </c>
      <c r="E187" t="str">
        <f>"6.846,00"</f>
        <v>6.846,00</v>
      </c>
    </row>
    <row r="190" spans="1:5" x14ac:dyDescent="0.25">
      <c r="A190" t="str">
        <f>"44"</f>
        <v>44</v>
      </c>
      <c r="B190" t="str">
        <f>"Ing. Jiří Lagner  Soběsla"</f>
        <v>Ing. Jiří Lagner  Soběsla</v>
      </c>
      <c r="C190" t="str">
        <f>"10326227"</f>
        <v>10326227</v>
      </c>
    </row>
    <row r="191" spans="1:5" x14ac:dyDescent="0.25">
      <c r="A191" t="str">
        <f>"31.01.2011"</f>
        <v>31.01.2011</v>
      </c>
      <c r="B191" t="str">
        <f>"07.02.2011"</f>
        <v>07.02.2011</v>
      </c>
      <c r="C191" t="str">
        <f>"04.02.2011"</f>
        <v>04.02.2011</v>
      </c>
      <c r="D191" t="str">
        <f>"18.470,00"</f>
        <v>18.470,00</v>
      </c>
      <c r="E191" t="str">
        <f>"18.470,00"</f>
        <v>18.470,00</v>
      </c>
    </row>
    <row r="194" spans="1:5" x14ac:dyDescent="0.25">
      <c r="A194" t="str">
        <f>"45"</f>
        <v>45</v>
      </c>
      <c r="B194" t="str">
        <f>"Java Třeboň"</f>
        <v>Java Třeboň</v>
      </c>
      <c r="C194" t="str">
        <f>"15792994"</f>
        <v>15792994</v>
      </c>
    </row>
    <row r="195" spans="1:5" x14ac:dyDescent="0.25">
      <c r="A195" t="str">
        <f>"31.01.2011"</f>
        <v>31.01.2011</v>
      </c>
      <c r="B195" t="str">
        <f>"07.02.2011"</f>
        <v>07.02.2011</v>
      </c>
      <c r="C195" t="str">
        <f>"04.02.2011"</f>
        <v>04.02.2011</v>
      </c>
      <c r="D195" t="str">
        <f>"33.198,00"</f>
        <v>33.198,00</v>
      </c>
      <c r="E195" t="str">
        <f>"33.198,00"</f>
        <v>33.198,00</v>
      </c>
    </row>
    <row r="198" spans="1:5" x14ac:dyDescent="0.25">
      <c r="A198" t="str">
        <f>"46"</f>
        <v>46</v>
      </c>
      <c r="B198" t="str">
        <f>"Petr Palán Vesce 46"</f>
        <v>Petr Palán Vesce 46</v>
      </c>
      <c r="C198" t="str">
        <f>"45015171"</f>
        <v>45015171</v>
      </c>
    </row>
    <row r="199" spans="1:5" x14ac:dyDescent="0.25">
      <c r="A199" t="str">
        <f>"31.01.2011"</f>
        <v>31.01.2011</v>
      </c>
      <c r="B199" t="str">
        <f>"10.02.2011"</f>
        <v>10.02.2011</v>
      </c>
      <c r="C199" t="str">
        <f>"08.02.2011"</f>
        <v>08.02.2011</v>
      </c>
      <c r="D199" t="str">
        <f>"13.651,00"</f>
        <v>13.651,00</v>
      </c>
      <c r="E199" t="str">
        <f>"13.651,00"</f>
        <v>13.651,00</v>
      </c>
    </row>
    <row r="202" spans="1:5" x14ac:dyDescent="0.25">
      <c r="A202" t="str">
        <f>"47"</f>
        <v>47</v>
      </c>
      <c r="B202" t="str">
        <f>"B a K  České Budějovice"</f>
        <v>B a K  České Budějovice</v>
      </c>
      <c r="C202" t="str">
        <f>"48203360"</f>
        <v>48203360</v>
      </c>
    </row>
    <row r="203" spans="1:5" x14ac:dyDescent="0.25">
      <c r="A203" t="str">
        <f>"31.01.2011"</f>
        <v>31.01.2011</v>
      </c>
      <c r="B203" t="str">
        <f>"14.02.2011"</f>
        <v>14.02.2011</v>
      </c>
      <c r="C203" t="str">
        <f>"10.02.2011"</f>
        <v>10.02.2011</v>
      </c>
      <c r="D203" t="str">
        <f>"3.432,00"</f>
        <v>3.432,00</v>
      </c>
      <c r="E203" t="str">
        <f>"3.432,00"</f>
        <v>3.432,00</v>
      </c>
    </row>
    <row r="206" spans="1:5" x14ac:dyDescent="0.25">
      <c r="A206" t="str">
        <f>"48"</f>
        <v>48</v>
      </c>
      <c r="B206" t="str">
        <f>"Správa města Soběslavi"</f>
        <v>Správa města Soběslavi</v>
      </c>
      <c r="C206" t="str">
        <f>"26029987"</f>
        <v>26029987</v>
      </c>
    </row>
    <row r="207" spans="1:5" x14ac:dyDescent="0.25">
      <c r="A207" t="str">
        <f>"31.01.2011"</f>
        <v>31.01.2011</v>
      </c>
      <c r="B207" t="str">
        <f>"14.02.2011"</f>
        <v>14.02.2011</v>
      </c>
      <c r="C207" t="str">
        <f>"10.02.2011"</f>
        <v>10.02.2011</v>
      </c>
      <c r="D207" t="str">
        <f>"733,00"</f>
        <v>733,00</v>
      </c>
      <c r="E207" t="str">
        <f>"733,00"</f>
        <v>733,00</v>
      </c>
    </row>
    <row r="210" spans="1:5" x14ac:dyDescent="0.25">
      <c r="A210" t="str">
        <f>"49"</f>
        <v>49</v>
      </c>
      <c r="B210" t="str">
        <f>"SMOJK  Č. Budějovice"</f>
        <v>SMOJK  Č. Budějovice</v>
      </c>
      <c r="C210" t="str">
        <f>"68543727"</f>
        <v>68543727</v>
      </c>
    </row>
    <row r="211" spans="1:5" x14ac:dyDescent="0.25">
      <c r="A211" t="str">
        <f>"31.01.2011"</f>
        <v>31.01.2011</v>
      </c>
      <c r="B211" t="str">
        <f>"27.02.2011"</f>
        <v>27.02.2011</v>
      </c>
      <c r="C211" t="str">
        <f>"23.02.2011"</f>
        <v>23.02.2011</v>
      </c>
      <c r="D211" t="str">
        <f>"14.995,00"</f>
        <v>14.995,00</v>
      </c>
      <c r="E211" t="str">
        <f>"14.995,00"</f>
        <v>14.995,00</v>
      </c>
    </row>
    <row r="214" spans="1:5" x14ac:dyDescent="0.25">
      <c r="A214" t="str">
        <f>"50"</f>
        <v>50</v>
      </c>
      <c r="B214" t="str">
        <f>"KONICA MINOLTA s.r.o."</f>
        <v>KONICA MINOLTA s.r.o.</v>
      </c>
      <c r="C214" t="str">
        <f>"00176150"</f>
        <v>00176150</v>
      </c>
    </row>
    <row r="215" spans="1:5" x14ac:dyDescent="0.25">
      <c r="A215" t="str">
        <f>"07.02.2011"</f>
        <v>07.02.2011</v>
      </c>
      <c r="B215" t="str">
        <f>"09.02.2011"</f>
        <v>09.02.2011</v>
      </c>
      <c r="C215" t="str">
        <f>"08.02.2011"</f>
        <v>08.02.2011</v>
      </c>
      <c r="D215" t="str">
        <f>"4.878,20"</f>
        <v>4.878,20</v>
      </c>
      <c r="E215" t="str">
        <f>"4.878,20"</f>
        <v>4.878,20</v>
      </c>
    </row>
    <row r="218" spans="1:5" x14ac:dyDescent="0.25">
      <c r="A218" t="str">
        <f>"51"</f>
        <v>51</v>
      </c>
      <c r="B218" t="str">
        <f>"Česká pošta, s.p. Praha"</f>
        <v>Česká pošta, s.p. Praha</v>
      </c>
      <c r="C218" t="str">
        <f>"47114983"</f>
        <v>47114983</v>
      </c>
    </row>
    <row r="219" spans="1:5" x14ac:dyDescent="0.25">
      <c r="A219" t="str">
        <f>"07.02.2011"</f>
        <v>07.02.2011</v>
      </c>
      <c r="B219" t="str">
        <f>"11.02.2011"</f>
        <v>11.02.2011</v>
      </c>
      <c r="C219" t="str">
        <f>"08.02.2011"</f>
        <v>08.02.2011</v>
      </c>
      <c r="D219" t="str">
        <f>"396,00"</f>
        <v>396,00</v>
      </c>
      <c r="E219" t="str">
        <f>"396,00"</f>
        <v>396,00</v>
      </c>
    </row>
    <row r="222" spans="1:5" x14ac:dyDescent="0.25">
      <c r="A222" t="str">
        <f>"52"</f>
        <v>52</v>
      </c>
      <c r="B222" t="str">
        <f>"Správa města Soběslavi"</f>
        <v>Správa města Soběslavi</v>
      </c>
      <c r="C222" t="str">
        <f>"26029987"</f>
        <v>26029987</v>
      </c>
    </row>
    <row r="223" spans="1:5" x14ac:dyDescent="0.25">
      <c r="A223" t="str">
        <f>"07.02.2011"</f>
        <v>07.02.2011</v>
      </c>
      <c r="B223" t="str">
        <f>"14.02.2011"</f>
        <v>14.02.2011</v>
      </c>
      <c r="C223" t="str">
        <f>"10.02.2011"</f>
        <v>10.02.2011</v>
      </c>
      <c r="D223" t="str">
        <f>"4.202,00"</f>
        <v>4.202,00</v>
      </c>
      <c r="E223" t="str">
        <f>"4.202,00"</f>
        <v>4.202,00</v>
      </c>
    </row>
    <row r="226" spans="1:5" x14ac:dyDescent="0.25">
      <c r="A226" t="str">
        <f>"53"</f>
        <v>53</v>
      </c>
      <c r="B226" t="str">
        <f>"Správa města Soběslavi"</f>
        <v>Správa města Soběslavi</v>
      </c>
      <c r="C226" t="str">
        <f>"26029987"</f>
        <v>26029987</v>
      </c>
    </row>
    <row r="227" spans="1:5" x14ac:dyDescent="0.25">
      <c r="A227" t="str">
        <f>"07.02.2011"</f>
        <v>07.02.2011</v>
      </c>
      <c r="B227" t="str">
        <f>"14.02.2011"</f>
        <v>14.02.2011</v>
      </c>
      <c r="C227" t="str">
        <f>"10.02.2011"</f>
        <v>10.02.2011</v>
      </c>
      <c r="D227" t="str">
        <f>"10.156,00"</f>
        <v>10.156,00</v>
      </c>
      <c r="E227" t="str">
        <f>"10.156,00"</f>
        <v>10.156,00</v>
      </c>
    </row>
    <row r="230" spans="1:5" x14ac:dyDescent="0.25">
      <c r="A230" t="str">
        <f>"54"</f>
        <v>54</v>
      </c>
      <c r="B230" t="str">
        <f>"ACTIVA s.r.o. Praha 9"</f>
        <v>ACTIVA s.r.o. Praha 9</v>
      </c>
      <c r="C230" t="str">
        <f>"48111198"</f>
        <v>48111198</v>
      </c>
    </row>
    <row r="231" spans="1:5" x14ac:dyDescent="0.25">
      <c r="A231" t="str">
        <f>"07.02.2011"</f>
        <v>07.02.2011</v>
      </c>
      <c r="B231" t="str">
        <f>"15.02.2011"</f>
        <v>15.02.2011</v>
      </c>
      <c r="C231" t="str">
        <f>"11.02.2011"</f>
        <v>11.02.2011</v>
      </c>
      <c r="D231" t="str">
        <f>"17.067,00"</f>
        <v>17.067,00</v>
      </c>
      <c r="E231" t="str">
        <f>"17.067,00"</f>
        <v>17.067,00</v>
      </c>
    </row>
    <row r="234" spans="1:5" x14ac:dyDescent="0.25">
      <c r="A234" t="str">
        <f>"55"</f>
        <v>55</v>
      </c>
      <c r="B234" t="str">
        <f>"ECO  s.r.o. Tábor"</f>
        <v>ECO  s.r.o. Tábor</v>
      </c>
      <c r="C234" t="str">
        <f>"63907828"</f>
        <v>63907828</v>
      </c>
    </row>
    <row r="235" spans="1:5" x14ac:dyDescent="0.25">
      <c r="A235" t="str">
        <f>"07.02.2011"</f>
        <v>07.02.2011</v>
      </c>
      <c r="B235" t="str">
        <f>"16.02.2011"</f>
        <v>16.02.2011</v>
      </c>
      <c r="C235" t="str">
        <f>"11.02.2011"</f>
        <v>11.02.2011</v>
      </c>
      <c r="D235" t="str">
        <f>"8.400,00"</f>
        <v>8.400,00</v>
      </c>
      <c r="E235" t="str">
        <f>"8.400,00"</f>
        <v>8.400,00</v>
      </c>
    </row>
    <row r="238" spans="1:5" x14ac:dyDescent="0.25">
      <c r="A238" t="str">
        <f>"56"</f>
        <v>56</v>
      </c>
      <c r="B238" t="str">
        <f>"Sdružení tajemníků Praha"</f>
        <v>Sdružení tajemníků Praha</v>
      </c>
      <c r="C238" t="str">
        <f>"60126361"</f>
        <v>60126361</v>
      </c>
    </row>
    <row r="239" spans="1:5" x14ac:dyDescent="0.25">
      <c r="A239" t="str">
        <f>"07.02.2011"</f>
        <v>07.02.2011</v>
      </c>
      <c r="B239" t="str">
        <f>"22.02.2011"</f>
        <v>22.02.2011</v>
      </c>
      <c r="C239" t="str">
        <f>"17.02.2011"</f>
        <v>17.02.2011</v>
      </c>
      <c r="D239" t="str">
        <f>"1.000,00"</f>
        <v>1.000,00</v>
      </c>
      <c r="E239" t="str">
        <f>"1.000,00"</f>
        <v>1.000,00</v>
      </c>
    </row>
    <row r="241" spans="1:5" x14ac:dyDescent="0.25">
      <c r="A241" t="str">
        <f>"Poř.č.fak."</f>
        <v>Poř.č.fak.</v>
      </c>
      <c r="B241" t="str">
        <f>"Dodavatel"</f>
        <v>Dodavatel</v>
      </c>
      <c r="C241" t="str">
        <f>"IČO"</f>
        <v>IČO</v>
      </c>
    </row>
    <row r="242" spans="1:5" x14ac:dyDescent="0.25">
      <c r="A242" t="str">
        <f>"Došla"</f>
        <v>Došla</v>
      </c>
      <c r="B242" t="str">
        <f>"Splatná"</f>
        <v>Splatná</v>
      </c>
      <c r="C242" t="str">
        <f>"Zaplacená"</f>
        <v>Zaplacená</v>
      </c>
      <c r="D242" t="str">
        <f>"Fakt.částka"</f>
        <v>Fakt.částka</v>
      </c>
      <c r="E242" t="str">
        <f>"Celk.zaplaceno"</f>
        <v>Celk.zaplaceno</v>
      </c>
    </row>
    <row r="243" spans="1:5" x14ac:dyDescent="0.25">
      <c r="B243" t="str">
        <f>"Poznámka"</f>
        <v>Poznámka</v>
      </c>
    </row>
    <row r="244" spans="1:5" x14ac:dyDescent="0.25">
      <c r="A244" t="str">
        <f>"**********"</f>
        <v>**********</v>
      </c>
      <c r="B244" t="str">
        <f>"**************************"</f>
        <v>**************************</v>
      </c>
      <c r="C244" t="str">
        <f>"***********"</f>
        <v>***********</v>
      </c>
      <c r="D244" t="str">
        <f>"***************"</f>
        <v>***************</v>
      </c>
      <c r="E244" t="str">
        <f>"***************"</f>
        <v>***************</v>
      </c>
    </row>
    <row r="246" spans="1:5" x14ac:dyDescent="0.25">
      <c r="A246" t="str">
        <f>"57"</f>
        <v>57</v>
      </c>
      <c r="B246" t="str">
        <f>"QASAR s.r.o. Mažice"</f>
        <v>QASAR s.r.o. Mažice</v>
      </c>
      <c r="C246" t="str">
        <f>"25192469"</f>
        <v>25192469</v>
      </c>
    </row>
    <row r="247" spans="1:5" x14ac:dyDescent="0.25">
      <c r="A247" t="str">
        <f>"07.02.2011"</f>
        <v>07.02.2011</v>
      </c>
      <c r="B247" t="str">
        <f>"28.02.2011"</f>
        <v>28.02.2011</v>
      </c>
      <c r="C247" t="str">
        <f>"23.02.2011"</f>
        <v>23.02.2011</v>
      </c>
      <c r="D247" t="str">
        <f>"4.800,00"</f>
        <v>4.800,00</v>
      </c>
      <c r="E247" t="str">
        <f>"4.800,00"</f>
        <v>4.800,00</v>
      </c>
    </row>
    <row r="250" spans="1:5" x14ac:dyDescent="0.25">
      <c r="A250" t="str">
        <f>"58"</f>
        <v>58</v>
      </c>
      <c r="B250" t="str">
        <f>"Spilka a Říha s.r.o. Sobě"</f>
        <v>Spilka a Říha s.r.o. Sobě</v>
      </c>
      <c r="C250" t="str">
        <f>"45021309"</f>
        <v>45021309</v>
      </c>
    </row>
    <row r="251" spans="1:5" x14ac:dyDescent="0.25">
      <c r="A251" t="str">
        <f>"07.02.2011"</f>
        <v>07.02.2011</v>
      </c>
      <c r="B251" t="str">
        <f>"14.02.2011"</f>
        <v>14.02.2011</v>
      </c>
      <c r="C251" t="str">
        <f>"16.02.2011"</f>
        <v>16.02.2011</v>
      </c>
      <c r="D251" t="str">
        <f>"3.107.659,00"</f>
        <v>3.107.659,00</v>
      </c>
      <c r="E251" t="str">
        <f>"3.107.659,00"</f>
        <v>3.107.659,00</v>
      </c>
    </row>
    <row r="254" spans="1:5" x14ac:dyDescent="0.25">
      <c r="A254" t="str">
        <f>"59"</f>
        <v>59</v>
      </c>
      <c r="B254" t="str">
        <f>"HASBU s.r.o. Č.Bud."</f>
        <v>HASBU s.r.o. Č.Bud.</v>
      </c>
      <c r="C254" t="str">
        <f>"14500655"</f>
        <v>14500655</v>
      </c>
    </row>
    <row r="255" spans="1:5" x14ac:dyDescent="0.25">
      <c r="A255" t="str">
        <f>"09.02.2011"</f>
        <v>09.02.2011</v>
      </c>
      <c r="B255" t="str">
        <f>"09.02.2011"</f>
        <v>09.02.2011</v>
      </c>
      <c r="C255" t="str">
        <f>"10.02.2011"</f>
        <v>10.02.2011</v>
      </c>
      <c r="D255" t="str">
        <f>"1.668,00"</f>
        <v>1.668,00</v>
      </c>
      <c r="E255" t="str">
        <f>"1.668,00"</f>
        <v>1.668,00</v>
      </c>
    </row>
    <row r="258" spans="1:5" x14ac:dyDescent="0.25">
      <c r="A258" t="str">
        <f>"60"</f>
        <v>60</v>
      </c>
      <c r="B258" t="str">
        <f>"Ing. Jiří Fišer Tábor"</f>
        <v>Ing. Jiří Fišer Tábor</v>
      </c>
      <c r="C258" t="str">
        <f>"10322736"</f>
        <v>10322736</v>
      </c>
    </row>
    <row r="259" spans="1:5" x14ac:dyDescent="0.25">
      <c r="A259" t="str">
        <f>"09.02.2011"</f>
        <v>09.02.2011</v>
      </c>
      <c r="B259" t="str">
        <f>"10.02.2011"</f>
        <v>10.02.2011</v>
      </c>
      <c r="C259" t="str">
        <f>"10.02.2011"</f>
        <v>10.02.2011</v>
      </c>
      <c r="D259" t="str">
        <f>"8.700,00"</f>
        <v>8.700,00</v>
      </c>
      <c r="E259" t="str">
        <f>"8.700,00"</f>
        <v>8.700,00</v>
      </c>
    </row>
    <row r="262" spans="1:5" x14ac:dyDescent="0.25">
      <c r="A262" t="str">
        <f>"61"</f>
        <v>61</v>
      </c>
      <c r="B262" t="str">
        <f>"Telefónica 02 CR a.s."</f>
        <v>Telefónica 02 CR a.s.</v>
      </c>
      <c r="C262" t="str">
        <f>"60193336"</f>
        <v>60193336</v>
      </c>
    </row>
    <row r="263" spans="1:5" x14ac:dyDescent="0.25">
      <c r="A263" t="str">
        <f>"09.02.2011"</f>
        <v>09.02.2011</v>
      </c>
      <c r="B263" t="str">
        <f>"18.02.2011"</f>
        <v>18.02.2011</v>
      </c>
      <c r="C263" t="str">
        <f>"10.02.2011"</f>
        <v>10.02.2011</v>
      </c>
      <c r="D263" t="str">
        <f>"1,20"</f>
        <v>1,20</v>
      </c>
      <c r="E263" t="str">
        <f>"1,20"</f>
        <v>1,20</v>
      </c>
    </row>
    <row r="266" spans="1:5" x14ac:dyDescent="0.25">
      <c r="A266" t="str">
        <f>"62"</f>
        <v>62</v>
      </c>
      <c r="B266" t="str">
        <f>"Telefónica 02 CR a.s."</f>
        <v>Telefónica 02 CR a.s.</v>
      </c>
      <c r="C266" t="str">
        <f>"60193336"</f>
        <v>60193336</v>
      </c>
    </row>
    <row r="267" spans="1:5" x14ac:dyDescent="0.25">
      <c r="A267" t="str">
        <f>"09.02.2011"</f>
        <v>09.02.2011</v>
      </c>
      <c r="B267" t="str">
        <f>"18.02.2011"</f>
        <v>18.02.2011</v>
      </c>
      <c r="C267" t="str">
        <f>"10.02.2011"</f>
        <v>10.02.2011</v>
      </c>
      <c r="D267" t="str">
        <f>"3.402,80"</f>
        <v>3.402,80</v>
      </c>
      <c r="E267" t="str">
        <f>"3.402,80"</f>
        <v>3.402,80</v>
      </c>
    </row>
    <row r="270" spans="1:5" x14ac:dyDescent="0.25">
      <c r="A270" t="str">
        <f>"63"</f>
        <v>63</v>
      </c>
      <c r="B270" t="str">
        <f>"Hajný-T s.r.o."</f>
        <v>Hajný-T s.r.o.</v>
      </c>
      <c r="C270" t="str">
        <f>"63886839"</f>
        <v>63886839</v>
      </c>
    </row>
    <row r="271" spans="1:5" x14ac:dyDescent="0.25">
      <c r="A271" t="str">
        <f>"09.02.2011"</f>
        <v>09.02.2011</v>
      </c>
      <c r="B271" t="str">
        <f>"14.02.2011"</f>
        <v>14.02.2011</v>
      </c>
      <c r="C271" t="str">
        <f>"10.02.2011"</f>
        <v>10.02.2011</v>
      </c>
      <c r="D271" t="str">
        <f>"2.000,00"</f>
        <v>2.000,00</v>
      </c>
      <c r="E271" t="str">
        <f>"2.000,00"</f>
        <v>2.000,00</v>
      </c>
    </row>
    <row r="274" spans="1:5" x14ac:dyDescent="0.25">
      <c r="A274" t="str">
        <f>"64"</f>
        <v>64</v>
      </c>
      <c r="B274" t="str">
        <f>"Hajný-T s.r.o."</f>
        <v>Hajný-T s.r.o.</v>
      </c>
      <c r="C274" t="str">
        <f>"63886839"</f>
        <v>63886839</v>
      </c>
    </row>
    <row r="275" spans="1:5" x14ac:dyDescent="0.25">
      <c r="A275" t="str">
        <f>"09.02.2011"</f>
        <v>09.02.2011</v>
      </c>
      <c r="B275" t="str">
        <f>"14.02.2011"</f>
        <v>14.02.2011</v>
      </c>
      <c r="C275" t="str">
        <f>"10.02.2011"</f>
        <v>10.02.2011</v>
      </c>
      <c r="D275" t="str">
        <f>"14.944,00"</f>
        <v>14.944,00</v>
      </c>
      <c r="E275" t="str">
        <f>"14.944,00"</f>
        <v>14.944,00</v>
      </c>
    </row>
    <row r="278" spans="1:5" x14ac:dyDescent="0.25">
      <c r="A278" t="str">
        <f>"65"</f>
        <v>65</v>
      </c>
      <c r="B278" t="str">
        <f>"Sodexo Pass ČR a.s. Praha"</f>
        <v>Sodexo Pass ČR a.s. Praha</v>
      </c>
      <c r="C278" t="str">
        <f>"61860476"</f>
        <v>61860476</v>
      </c>
    </row>
    <row r="279" spans="1:5" x14ac:dyDescent="0.25">
      <c r="A279" t="str">
        <f>"09.02.2011"</f>
        <v>09.02.2011</v>
      </c>
      <c r="B279" t="str">
        <f>"15.02.2011"</f>
        <v>15.02.2011</v>
      </c>
      <c r="C279" t="str">
        <f>"11.02.2011"</f>
        <v>11.02.2011</v>
      </c>
      <c r="D279" t="str">
        <f>"60.204,00"</f>
        <v>60.204,00</v>
      </c>
      <c r="E279" t="str">
        <f>"60.204,00"</f>
        <v>60.204,00</v>
      </c>
    </row>
    <row r="282" spans="1:5" x14ac:dyDescent="0.25">
      <c r="A282" t="str">
        <f>"66"</f>
        <v>66</v>
      </c>
      <c r="B282" t="str">
        <f>"Česká pošta ,s.p. Praha 1"</f>
        <v>Česká pošta ,s.p. Praha 1</v>
      </c>
      <c r="C282" t="str">
        <f>"47114983"</f>
        <v>47114983</v>
      </c>
    </row>
    <row r="283" spans="1:5" x14ac:dyDescent="0.25">
      <c r="A283" t="str">
        <f>"09.02.2011"</f>
        <v>09.02.2011</v>
      </c>
      <c r="B283" t="str">
        <f>"17.02.2011"</f>
        <v>17.02.2011</v>
      </c>
      <c r="C283" t="str">
        <f>"15.02.2011"</f>
        <v>15.02.2011</v>
      </c>
      <c r="D283" t="str">
        <f>"402,00"</f>
        <v>402,00</v>
      </c>
      <c r="E283" t="str">
        <f>"402,00"</f>
        <v>402,00</v>
      </c>
    </row>
    <row r="286" spans="1:5" x14ac:dyDescent="0.25">
      <c r="A286" t="str">
        <f>"67"</f>
        <v>67</v>
      </c>
      <c r="B286" t="str">
        <f>"Jana Poláková Soběslav"</f>
        <v>Jana Poláková Soběslav</v>
      </c>
      <c r="C286" t="str">
        <f>"18302076"</f>
        <v>18302076</v>
      </c>
    </row>
    <row r="287" spans="1:5" x14ac:dyDescent="0.25">
      <c r="A287" t="str">
        <f>"09.02.2011"</f>
        <v>09.02.2011</v>
      </c>
      <c r="B287" t="str">
        <f>"17.02.2011"</f>
        <v>17.02.2011</v>
      </c>
      <c r="C287" t="str">
        <f>"15.02.2011"</f>
        <v>15.02.2011</v>
      </c>
      <c r="D287" t="str">
        <f>"1.800,00"</f>
        <v>1.800,00</v>
      </c>
      <c r="E287" t="str">
        <f>"1.800,00"</f>
        <v>1.800,00</v>
      </c>
    </row>
    <row r="290" spans="1:5" x14ac:dyDescent="0.25">
      <c r="A290" t="str">
        <f>"68"</f>
        <v>68</v>
      </c>
      <c r="B290" t="str">
        <f>"TJ SPARTAK Soběslav"</f>
        <v>TJ SPARTAK Soběslav</v>
      </c>
      <c r="C290" t="str">
        <f>"46632191"</f>
        <v>46632191</v>
      </c>
    </row>
    <row r="291" spans="1:5" x14ac:dyDescent="0.25">
      <c r="A291" t="str">
        <f>"09.02.2011"</f>
        <v>09.02.2011</v>
      </c>
      <c r="B291" t="str">
        <f>"17.02.2011"</f>
        <v>17.02.2011</v>
      </c>
      <c r="C291" t="str">
        <f>"15.02.2011"</f>
        <v>15.02.2011</v>
      </c>
      <c r="D291" t="str">
        <f>"2.550,00"</f>
        <v>2.550,00</v>
      </c>
      <c r="E291" t="str">
        <f>"2.550,00"</f>
        <v>2.550,00</v>
      </c>
    </row>
    <row r="294" spans="1:5" x14ac:dyDescent="0.25">
      <c r="A294" t="str">
        <f>"69"</f>
        <v>69</v>
      </c>
      <c r="B294" t="str">
        <f>"Správa města Soběslavi"</f>
        <v>Správa města Soběslavi</v>
      </c>
      <c r="C294" t="str">
        <f>"26029987"</f>
        <v>26029987</v>
      </c>
    </row>
    <row r="295" spans="1:5" x14ac:dyDescent="0.25">
      <c r="A295" t="str">
        <f>"09.02.2011"</f>
        <v>09.02.2011</v>
      </c>
      <c r="B295" t="str">
        <f>"22.02.2011"</f>
        <v>22.02.2011</v>
      </c>
      <c r="C295" t="str">
        <f>"18.02.2011"</f>
        <v>18.02.2011</v>
      </c>
      <c r="D295" t="str">
        <f>"5.004,00"</f>
        <v>5.004,00</v>
      </c>
      <c r="E295" t="str">
        <f>"5.004,00"</f>
        <v>5.004,00</v>
      </c>
    </row>
    <row r="298" spans="1:5" x14ac:dyDescent="0.25">
      <c r="A298" t="str">
        <f>"70"</f>
        <v>70</v>
      </c>
      <c r="B298" t="str">
        <f>"RUMPOLD s.r.o. Tábor"</f>
        <v>RUMPOLD s.r.o. Tábor</v>
      </c>
      <c r="C298" t="str">
        <f>"61459364"</f>
        <v>61459364</v>
      </c>
    </row>
    <row r="299" spans="1:5" x14ac:dyDescent="0.25">
      <c r="A299" t="str">
        <f>"09.02.2011"</f>
        <v>09.02.2011</v>
      </c>
      <c r="B299" t="str">
        <f>"02.03.2011"</f>
        <v>02.03.2011</v>
      </c>
      <c r="C299" t="str">
        <f>"25.02.2011"</f>
        <v>25.02.2011</v>
      </c>
      <c r="D299" t="str">
        <f>"8.832,00"</f>
        <v>8.832,00</v>
      </c>
      <c r="E299" t="str">
        <f>"8.832,00"</f>
        <v>8.832,00</v>
      </c>
    </row>
    <row r="301" spans="1:5" x14ac:dyDescent="0.25">
      <c r="A301" t="str">
        <f>"Poř.č.fak."</f>
        <v>Poř.č.fak.</v>
      </c>
      <c r="B301" t="str">
        <f>"Dodavatel"</f>
        <v>Dodavatel</v>
      </c>
      <c r="C301" t="str">
        <f>"IČO"</f>
        <v>IČO</v>
      </c>
    </row>
    <row r="302" spans="1:5" x14ac:dyDescent="0.25">
      <c r="A302" t="str">
        <f>"Došla"</f>
        <v>Došla</v>
      </c>
      <c r="B302" t="str">
        <f>"Splatná"</f>
        <v>Splatná</v>
      </c>
      <c r="C302" t="str">
        <f>"Zaplacená"</f>
        <v>Zaplacená</v>
      </c>
      <c r="D302" t="str">
        <f>"Fakt.částka"</f>
        <v>Fakt.částka</v>
      </c>
      <c r="E302" t="str">
        <f>"Celk.zaplaceno"</f>
        <v>Celk.zaplaceno</v>
      </c>
    </row>
    <row r="303" spans="1:5" x14ac:dyDescent="0.25">
      <c r="B303" t="str">
        <f>"Poznámka"</f>
        <v>Poznámka</v>
      </c>
    </row>
    <row r="304" spans="1:5" x14ac:dyDescent="0.25">
      <c r="A304" t="str">
        <f>"**********"</f>
        <v>**********</v>
      </c>
      <c r="B304" t="str">
        <f>"**************************"</f>
        <v>**************************</v>
      </c>
      <c r="C304" t="str">
        <f>"***********"</f>
        <v>***********</v>
      </c>
      <c r="D304" t="str">
        <f>"***************"</f>
        <v>***************</v>
      </c>
      <c r="E304" t="str">
        <f>"***************"</f>
        <v>***************</v>
      </c>
    </row>
    <row r="306" spans="1:5" x14ac:dyDescent="0.25">
      <c r="A306" t="str">
        <f>"71"</f>
        <v>71</v>
      </c>
      <c r="B306" t="str">
        <f>"Telefónica 02 CR, a.s."</f>
        <v>Telefónica 02 CR, a.s.</v>
      </c>
      <c r="C306" t="str">
        <f>"60193336"</f>
        <v>60193336</v>
      </c>
    </row>
    <row r="307" spans="1:5" x14ac:dyDescent="0.25">
      <c r="A307" t="str">
        <f>"09.02.2011"</f>
        <v>09.02.2011</v>
      </c>
      <c r="B307" t="str">
        <f>"05.03.2011"</f>
        <v>05.03.2011</v>
      </c>
      <c r="C307" t="str">
        <f>"25.02.2011"</f>
        <v>25.02.2011</v>
      </c>
      <c r="D307" t="str">
        <f>"46,87"</f>
        <v>46,87</v>
      </c>
      <c r="E307" t="str">
        <f>"46,87"</f>
        <v>46,87</v>
      </c>
    </row>
    <row r="310" spans="1:5" x14ac:dyDescent="0.25">
      <c r="A310" t="str">
        <f>"72"</f>
        <v>72</v>
      </c>
      <c r="B310" t="str">
        <f>"BENZINA ,s.r.o. Praha 4"</f>
        <v>BENZINA ,s.r.o. Praha 4</v>
      </c>
      <c r="C310" t="str">
        <f>"60193328"</f>
        <v>60193328</v>
      </c>
    </row>
    <row r="311" spans="1:5" x14ac:dyDescent="0.25">
      <c r="A311" t="str">
        <f>"09.02.2011"</f>
        <v>09.02.2011</v>
      </c>
      <c r="B311" t="str">
        <f>"16.02.2011"</f>
        <v>16.02.2011</v>
      </c>
      <c r="C311" t="str">
        <f>"10.02.2011"</f>
        <v>10.02.2011</v>
      </c>
      <c r="D311" t="str">
        <f>"10.468,84"</f>
        <v>10.468,84</v>
      </c>
      <c r="E311" t="str">
        <f>"10.468,84"</f>
        <v>10.468,84</v>
      </c>
    </row>
    <row r="314" spans="1:5" x14ac:dyDescent="0.25">
      <c r="A314" t="str">
        <f>"73"</f>
        <v>73</v>
      </c>
      <c r="B314" t="str">
        <f>"Česká pošta ,s.p. Praha 1"</f>
        <v>Česká pošta ,s.p. Praha 1</v>
      </c>
      <c r="C314" t="str">
        <f>"47114983"</f>
        <v>47114983</v>
      </c>
    </row>
    <row r="315" spans="1:5" x14ac:dyDescent="0.25">
      <c r="A315" t="str">
        <f>"09.02.2011"</f>
        <v>09.02.2011</v>
      </c>
      <c r="B315" t="str">
        <f>"18.02.2011"</f>
        <v>18.02.2011</v>
      </c>
      <c r="C315" t="str">
        <f>"18.02.2011"</f>
        <v>18.02.2011</v>
      </c>
      <c r="D315" t="str">
        <f>"57.848,00"</f>
        <v>57.848,00</v>
      </c>
      <c r="E315" t="str">
        <f>"57.848,00"</f>
        <v>57.848,00</v>
      </c>
    </row>
    <row r="318" spans="1:5" x14ac:dyDescent="0.25">
      <c r="A318" t="str">
        <f>"74"</f>
        <v>74</v>
      </c>
      <c r="B318" t="str">
        <f>"Kanadské sruby Tábor"</f>
        <v>Kanadské sruby Tábor</v>
      </c>
      <c r="C318" t="str">
        <f>"28108078"</f>
        <v>28108078</v>
      </c>
    </row>
    <row r="319" spans="1:5" x14ac:dyDescent="0.25">
      <c r="A319" t="str">
        <f>"14.02.2011"</f>
        <v>14.02.2011</v>
      </c>
      <c r="B319" t="str">
        <f>"18.02.2011"</f>
        <v>18.02.2011</v>
      </c>
      <c r="C319" t="str">
        <f>"14.02.2011"</f>
        <v>14.02.2011</v>
      </c>
      <c r="D319" t="str">
        <f>"570.000,00"</f>
        <v>570.000,00</v>
      </c>
      <c r="E319" t="str">
        <f>"570.000,00"</f>
        <v>570.000,00</v>
      </c>
    </row>
    <row r="322" spans="1:5" x14ac:dyDescent="0.25">
      <c r="A322" t="str">
        <f>"75"</f>
        <v>75</v>
      </c>
      <c r="B322" t="str">
        <f>"Telefónica 02 CR, a.s."</f>
        <v>Telefónica 02 CR, a.s.</v>
      </c>
      <c r="C322" t="str">
        <f>"60193336"</f>
        <v>60193336</v>
      </c>
    </row>
    <row r="323" spans="1:5" x14ac:dyDescent="0.25">
      <c r="A323" t="str">
        <f>"14.02.2011"</f>
        <v>14.02.2011</v>
      </c>
      <c r="B323" t="str">
        <f>"16.02.2011"</f>
        <v>16.02.2011</v>
      </c>
      <c r="C323" t="str">
        <f>"16.02.2011"</f>
        <v>16.02.2011</v>
      </c>
      <c r="D323" t="str">
        <f>"28.018,51"</f>
        <v>28.018,51</v>
      </c>
      <c r="E323" t="str">
        <f>"28.018,51"</f>
        <v>28.018,51</v>
      </c>
    </row>
    <row r="326" spans="1:5" x14ac:dyDescent="0.25">
      <c r="A326" t="str">
        <f>"76"</f>
        <v>76</v>
      </c>
      <c r="B326" t="str">
        <f>"KONICA MINOLTA s.r.o."</f>
        <v>KONICA MINOLTA s.r.o.</v>
      </c>
      <c r="C326" t="str">
        <f>"00176150"</f>
        <v>00176150</v>
      </c>
    </row>
    <row r="327" spans="1:5" x14ac:dyDescent="0.25">
      <c r="A327" t="str">
        <f>"14.02.2011"</f>
        <v>14.02.2011</v>
      </c>
      <c r="B327" t="str">
        <f>"16.02.2011"</f>
        <v>16.02.2011</v>
      </c>
      <c r="C327" t="str">
        <f>"15.02.2011"</f>
        <v>15.02.2011</v>
      </c>
      <c r="D327" t="str">
        <f>"361,10"</f>
        <v>361,10</v>
      </c>
      <c r="E327" t="str">
        <f>"361,10"</f>
        <v>361,10</v>
      </c>
    </row>
    <row r="330" spans="1:5" x14ac:dyDescent="0.25">
      <c r="A330" t="str">
        <f>"77"</f>
        <v>77</v>
      </c>
      <c r="B330" t="str">
        <f>"KONICA MINOLTA s.r.o."</f>
        <v>KONICA MINOLTA s.r.o.</v>
      </c>
      <c r="C330" t="str">
        <f>"00176150"</f>
        <v>00176150</v>
      </c>
    </row>
    <row r="331" spans="1:5" x14ac:dyDescent="0.25">
      <c r="A331" t="str">
        <f>"14.02.2011"</f>
        <v>14.02.2011</v>
      </c>
      <c r="B331" t="str">
        <f>"16.02.2011"</f>
        <v>16.02.2011</v>
      </c>
      <c r="C331" t="str">
        <f>"15.02.2011"</f>
        <v>15.02.2011</v>
      </c>
      <c r="D331" t="str">
        <f>"1.716,00"</f>
        <v>1.716,00</v>
      </c>
      <c r="E331" t="str">
        <f>"1.716,00"</f>
        <v>1.716,00</v>
      </c>
    </row>
    <row r="334" spans="1:5" x14ac:dyDescent="0.25">
      <c r="A334" t="str">
        <f>"78"</f>
        <v>78</v>
      </c>
      <c r="B334" t="str">
        <f>"KONICA MINOLTA s.r.o."</f>
        <v>KONICA MINOLTA s.r.o.</v>
      </c>
      <c r="C334" t="str">
        <f>"00176150"</f>
        <v>00176150</v>
      </c>
    </row>
    <row r="335" spans="1:5" x14ac:dyDescent="0.25">
      <c r="A335" t="str">
        <f>"14.02.2011"</f>
        <v>14.02.2011</v>
      </c>
      <c r="B335" t="str">
        <f>"16.02.2011"</f>
        <v>16.02.2011</v>
      </c>
      <c r="C335" t="str">
        <f>"15.02.2011"</f>
        <v>15.02.2011</v>
      </c>
      <c r="D335" t="str">
        <f>"3.552,00"</f>
        <v>3.552,00</v>
      </c>
      <c r="E335" t="str">
        <f>"3.552,00"</f>
        <v>3.552,00</v>
      </c>
    </row>
    <row r="338" spans="1:5" x14ac:dyDescent="0.25">
      <c r="A338" t="str">
        <f>"79"</f>
        <v>79</v>
      </c>
      <c r="B338" t="str">
        <f>"GEOVAP s.r.o. Pardubice"</f>
        <v>GEOVAP s.r.o. Pardubice</v>
      </c>
      <c r="C338" t="str">
        <f>"15049248"</f>
        <v>15049248</v>
      </c>
    </row>
    <row r="339" spans="1:5" x14ac:dyDescent="0.25">
      <c r="A339" t="str">
        <f>"14.02.2011"</f>
        <v>14.02.2011</v>
      </c>
      <c r="B339" t="str">
        <f>"19.02.2011"</f>
        <v>19.02.2011</v>
      </c>
      <c r="C339" t="str">
        <f>"17.02.2011"</f>
        <v>17.02.2011</v>
      </c>
      <c r="D339" t="str">
        <f>"2.000,00"</f>
        <v>2.000,00</v>
      </c>
      <c r="E339" t="str">
        <f>"2.000,00"</f>
        <v>2.000,00</v>
      </c>
    </row>
    <row r="342" spans="1:5" x14ac:dyDescent="0.25">
      <c r="A342" t="str">
        <f>"80"</f>
        <v>80</v>
      </c>
      <c r="B342" t="str">
        <f>"GEOVAP s.r.o. Pardubice"</f>
        <v>GEOVAP s.r.o. Pardubice</v>
      </c>
      <c r="C342" t="str">
        <f>"15049248"</f>
        <v>15049248</v>
      </c>
    </row>
    <row r="343" spans="1:5" x14ac:dyDescent="0.25">
      <c r="A343" t="str">
        <f>"14.02.2011"</f>
        <v>14.02.2011</v>
      </c>
      <c r="B343" t="str">
        <f>"19.02.2011"</f>
        <v>19.02.2011</v>
      </c>
      <c r="C343" t="str">
        <f>"17.02.2011"</f>
        <v>17.02.2011</v>
      </c>
      <c r="D343" t="str">
        <f>"5.010,00"</f>
        <v>5.010,00</v>
      </c>
      <c r="E343" t="str">
        <f>"5.010,00"</f>
        <v>5.010,00</v>
      </c>
    </row>
    <row r="346" spans="1:5" x14ac:dyDescent="0.25">
      <c r="A346" t="str">
        <f>"81"</f>
        <v>81</v>
      </c>
      <c r="B346" t="str">
        <f>"E.ON  Energie a.s. Č.B."</f>
        <v>E.ON  Energie a.s. Č.B.</v>
      </c>
      <c r="C346" t="str">
        <f>"26078201"</f>
        <v>26078201</v>
      </c>
    </row>
    <row r="347" spans="1:5" x14ac:dyDescent="0.25">
      <c r="A347" t="str">
        <f>"14.02.2011"</f>
        <v>14.02.2011</v>
      </c>
      <c r="B347" t="str">
        <f>"23.02.2011"</f>
        <v>23.02.2011</v>
      </c>
      <c r="C347" t="str">
        <f>"21.02.2011"</f>
        <v>21.02.2011</v>
      </c>
      <c r="D347" t="str">
        <f>"3.397,00"</f>
        <v>3.397,00</v>
      </c>
      <c r="E347" t="str">
        <f>"3.397,00"</f>
        <v>3.397,00</v>
      </c>
    </row>
    <row r="350" spans="1:5" x14ac:dyDescent="0.25">
      <c r="A350" t="str">
        <f>"82"</f>
        <v>82</v>
      </c>
      <c r="B350" t="str">
        <f>"Správa města Soběslavi"</f>
        <v>Správa města Soběslavi</v>
      </c>
      <c r="C350" t="str">
        <f>"26029987"</f>
        <v>26029987</v>
      </c>
    </row>
    <row r="351" spans="1:5" x14ac:dyDescent="0.25">
      <c r="A351" t="str">
        <f>"14.02.2011"</f>
        <v>14.02.2011</v>
      </c>
      <c r="B351" t="str">
        <f>"23.02.2011"</f>
        <v>23.02.2011</v>
      </c>
      <c r="C351" t="str">
        <f>"21.02.2011"</f>
        <v>21.02.2011</v>
      </c>
      <c r="D351" t="str">
        <f>"940.000,00"</f>
        <v>940.000,00</v>
      </c>
      <c r="E351" t="str">
        <f>"940.000,00"</f>
        <v>940.000,00</v>
      </c>
    </row>
    <row r="354" spans="1:5" x14ac:dyDescent="0.25">
      <c r="A354" t="str">
        <f>"83"</f>
        <v>83</v>
      </c>
      <c r="B354" t="str">
        <f>"E.ON  Energie a.s. Č.B."</f>
        <v>E.ON  Energie a.s. Č.B.</v>
      </c>
      <c r="C354" t="str">
        <f>"26078201"</f>
        <v>26078201</v>
      </c>
    </row>
    <row r="355" spans="1:5" x14ac:dyDescent="0.25">
      <c r="A355" t="str">
        <f>"14.02.2011"</f>
        <v>14.02.2011</v>
      </c>
      <c r="B355" t="str">
        <f>"25.02.2011"</f>
        <v>25.02.2011</v>
      </c>
      <c r="C355" t="str">
        <f>"28.02.2011"</f>
        <v>28.02.2011</v>
      </c>
      <c r="D355" t="str">
        <f>"-5.042,00"</f>
        <v>-5.042,00</v>
      </c>
      <c r="E355" t="str">
        <f>"-5.042,00"</f>
        <v>-5.042,00</v>
      </c>
    </row>
    <row r="358" spans="1:5" x14ac:dyDescent="0.25">
      <c r="A358" t="str">
        <f>"84"</f>
        <v>84</v>
      </c>
      <c r="B358" t="str">
        <f>"Ing. Perger Tábor"</f>
        <v>Ing. Perger Tábor</v>
      </c>
      <c r="C358" t="str">
        <f>"42362814"</f>
        <v>42362814</v>
      </c>
    </row>
    <row r="359" spans="1:5" x14ac:dyDescent="0.25">
      <c r="A359" t="str">
        <f>"14.02.2011"</f>
        <v>14.02.2011</v>
      </c>
      <c r="B359" t="str">
        <f>"28.02.2011"</f>
        <v>28.02.2011</v>
      </c>
      <c r="C359" t="str">
        <f>"23.02.2011"</f>
        <v>23.02.2011</v>
      </c>
      <c r="D359" t="str">
        <f>"900,00"</f>
        <v>900,00</v>
      </c>
      <c r="E359" t="str">
        <f>"900,00"</f>
        <v>900,00</v>
      </c>
    </row>
    <row r="361" spans="1:5" x14ac:dyDescent="0.25">
      <c r="A361" t="str">
        <f>"Poř.č.fak."</f>
        <v>Poř.č.fak.</v>
      </c>
      <c r="B361" t="str">
        <f>"Dodavatel"</f>
        <v>Dodavatel</v>
      </c>
      <c r="C361" t="str">
        <f>"IČO"</f>
        <v>IČO</v>
      </c>
    </row>
    <row r="362" spans="1:5" x14ac:dyDescent="0.25">
      <c r="A362" t="str">
        <f>"Došla"</f>
        <v>Došla</v>
      </c>
      <c r="B362" t="str">
        <f>"Splatná"</f>
        <v>Splatná</v>
      </c>
      <c r="C362" t="str">
        <f>"Zaplacená"</f>
        <v>Zaplacená</v>
      </c>
      <c r="D362" t="str">
        <f>"Fakt.částka"</f>
        <v>Fakt.částka</v>
      </c>
      <c r="E362" t="str">
        <f>"Celk.zaplaceno"</f>
        <v>Celk.zaplaceno</v>
      </c>
    </row>
    <row r="363" spans="1:5" x14ac:dyDescent="0.25">
      <c r="B363" t="str">
        <f>"Poznámka"</f>
        <v>Poznámka</v>
      </c>
    </row>
    <row r="364" spans="1:5" x14ac:dyDescent="0.25">
      <c r="A364" t="str">
        <f>"**********"</f>
        <v>**********</v>
      </c>
      <c r="B364" t="str">
        <f>"**************************"</f>
        <v>**************************</v>
      </c>
      <c r="C364" t="str">
        <f>"***********"</f>
        <v>***********</v>
      </c>
      <c r="D364" t="str">
        <f>"***************"</f>
        <v>***************</v>
      </c>
      <c r="E364" t="str">
        <f>"***************"</f>
        <v>***************</v>
      </c>
    </row>
    <row r="366" spans="1:5" x14ac:dyDescent="0.25">
      <c r="A366" t="str">
        <f>"85"</f>
        <v>85</v>
      </c>
      <c r="B366" t="str">
        <f>"Ing. Jiří Lagner  Soběsla"</f>
        <v>Ing. Jiří Lagner  Soběsla</v>
      </c>
      <c r="C366" t="str">
        <f>"10326227"</f>
        <v>10326227</v>
      </c>
    </row>
    <row r="367" spans="1:5" x14ac:dyDescent="0.25">
      <c r="A367" t="str">
        <f>"16.02.2011"</f>
        <v>16.02.2011</v>
      </c>
      <c r="B367" t="str">
        <f>"22.02.2011"</f>
        <v>22.02.2011</v>
      </c>
      <c r="C367" t="str">
        <f>"18.02.2011"</f>
        <v>18.02.2011</v>
      </c>
      <c r="D367" t="str">
        <f>"1.500,00"</f>
        <v>1.500,00</v>
      </c>
      <c r="E367" t="str">
        <f>"1.500,00"</f>
        <v>1.500,00</v>
      </c>
    </row>
    <row r="370" spans="1:5" x14ac:dyDescent="0.25">
      <c r="A370" t="str">
        <f>"86"</f>
        <v>86</v>
      </c>
      <c r="B370" t="str">
        <f>"Ateliér KOBERA,s.r.o. Týn"</f>
        <v>Ateliér KOBERA,s.r.o. Týn</v>
      </c>
      <c r="C370" t="str">
        <f>"28069684"</f>
        <v>28069684</v>
      </c>
    </row>
    <row r="371" spans="1:5" x14ac:dyDescent="0.25">
      <c r="A371" t="str">
        <f>"16.02.2011"</f>
        <v>16.02.2011</v>
      </c>
      <c r="B371" t="str">
        <f>"22.02.2011"</f>
        <v>22.02.2011</v>
      </c>
      <c r="C371" t="str">
        <f>"18.02.2011"</f>
        <v>18.02.2011</v>
      </c>
      <c r="D371" t="str">
        <f>"23.400,00"</f>
        <v>23.400,00</v>
      </c>
      <c r="E371" t="str">
        <f>"23.400,00"</f>
        <v>23.400,00</v>
      </c>
    </row>
    <row r="374" spans="1:5" x14ac:dyDescent="0.25">
      <c r="A374" t="str">
        <f>"87"</f>
        <v>87</v>
      </c>
      <c r="B374" t="str">
        <f>"Technické služby, s.r.o."</f>
        <v>Technické služby, s.r.o.</v>
      </c>
      <c r="C374" t="str">
        <f>"62502565"</f>
        <v>62502565</v>
      </c>
    </row>
    <row r="375" spans="1:5" x14ac:dyDescent="0.25">
      <c r="A375" t="str">
        <f>"16.02.2011"</f>
        <v>16.02.2011</v>
      </c>
      <c r="B375" t="str">
        <f>"23.02.2011"</f>
        <v>23.02.2011</v>
      </c>
      <c r="C375" t="str">
        <f>"21.02.2011"</f>
        <v>21.02.2011</v>
      </c>
      <c r="D375" t="str">
        <f>"9.840,00"</f>
        <v>9.840,00</v>
      </c>
      <c r="E375" t="str">
        <f>"9.840,00"</f>
        <v>9.840,00</v>
      </c>
    </row>
    <row r="378" spans="1:5" x14ac:dyDescent="0.25">
      <c r="A378" t="str">
        <f>"88"</f>
        <v>88</v>
      </c>
      <c r="B378" t="str">
        <f>"INISOFT s.r.o. Liberec"</f>
        <v>INISOFT s.r.o. Liberec</v>
      </c>
      <c r="C378" t="str">
        <f>"25417657"</f>
        <v>25417657</v>
      </c>
    </row>
    <row r="379" spans="1:5" x14ac:dyDescent="0.25">
      <c r="A379" t="str">
        <f>"16.02.2011"</f>
        <v>16.02.2011</v>
      </c>
      <c r="B379" t="str">
        <f>"24.02.2011"</f>
        <v>24.02.2011</v>
      </c>
      <c r="C379" t="str">
        <f>"22.02.2011"</f>
        <v>22.02.2011</v>
      </c>
      <c r="D379" t="str">
        <f>"13.080,00"</f>
        <v>13.080,00</v>
      </c>
      <c r="E379" t="str">
        <f>"13.080,00"</f>
        <v>13.080,00</v>
      </c>
    </row>
    <row r="382" spans="1:5" x14ac:dyDescent="0.25">
      <c r="A382" t="str">
        <f>"89"</f>
        <v>89</v>
      </c>
      <c r="B382" t="str">
        <f>"Česká pošta, s.p. Praha"</f>
        <v>Česká pošta, s.p. Praha</v>
      </c>
      <c r="C382" t="str">
        <f>"47114983"</f>
        <v>47114983</v>
      </c>
    </row>
    <row r="383" spans="1:5" x14ac:dyDescent="0.25">
      <c r="A383" t="str">
        <f>"16.02.2011"</f>
        <v>16.02.2011</v>
      </c>
      <c r="B383" t="str">
        <f>"25.02.2011"</f>
        <v>25.02.2011</v>
      </c>
      <c r="C383" t="str">
        <f>"22.02.2011"</f>
        <v>22.02.2011</v>
      </c>
      <c r="D383" t="str">
        <f>"756,00"</f>
        <v>756,00</v>
      </c>
      <c r="E383" t="str">
        <f>"756,00"</f>
        <v>756,00</v>
      </c>
    </row>
    <row r="386" spans="1:5" x14ac:dyDescent="0.25">
      <c r="A386" t="str">
        <f>"90"</f>
        <v>90</v>
      </c>
      <c r="B386" t="str">
        <f>"ing. Pantoflíček Soběslav"</f>
        <v>ing. Pantoflíček Soběslav</v>
      </c>
      <c r="C386" t="str">
        <f>"18302220"</f>
        <v>18302220</v>
      </c>
    </row>
    <row r="387" spans="1:5" x14ac:dyDescent="0.25">
      <c r="A387" t="str">
        <f>"16.02.2011"</f>
        <v>16.02.2011</v>
      </c>
      <c r="B387" t="str">
        <f>"25.02.2011"</f>
        <v>25.02.2011</v>
      </c>
      <c r="C387" t="str">
        <f>"16.02.2011"</f>
        <v>16.02.2011</v>
      </c>
      <c r="D387" t="str">
        <f>"1.440,00"</f>
        <v>1.440,00</v>
      </c>
      <c r="E387" t="str">
        <f>"1.440,00"</f>
        <v>1.440,00</v>
      </c>
    </row>
    <row r="390" spans="1:5" x14ac:dyDescent="0.25">
      <c r="A390" t="str">
        <f>"91"</f>
        <v>91</v>
      </c>
      <c r="B390" t="str">
        <f>"B2B Partner s.r.o. Ostrav"</f>
        <v>B2B Partner s.r.o. Ostrav</v>
      </c>
      <c r="C390" t="str">
        <f>"27830306"</f>
        <v>27830306</v>
      </c>
    </row>
    <row r="391" spans="1:5" x14ac:dyDescent="0.25">
      <c r="A391" t="str">
        <f>"16.02.2011"</f>
        <v>16.02.2011</v>
      </c>
      <c r="B391" t="str">
        <f>"01.03.2011"</f>
        <v>01.03.2011</v>
      </c>
      <c r="C391" t="str">
        <f>"25.02.2011"</f>
        <v>25.02.2011</v>
      </c>
      <c r="D391" t="str">
        <f>"1.764,00"</f>
        <v>1.764,00</v>
      </c>
      <c r="E391" t="str">
        <f>"1.764,00"</f>
        <v>1.764,00</v>
      </c>
    </row>
    <row r="394" spans="1:5" x14ac:dyDescent="0.25">
      <c r="A394" t="str">
        <f>"92"</f>
        <v>92</v>
      </c>
      <c r="B394" t="str">
        <f>"GIGACOMPUTER Č.B."</f>
        <v>GIGACOMPUTER Č.B.</v>
      </c>
      <c r="C394" t="str">
        <f>"28080289"</f>
        <v>28080289</v>
      </c>
    </row>
    <row r="395" spans="1:5" x14ac:dyDescent="0.25">
      <c r="A395" t="str">
        <f>"22.02.2011"</f>
        <v>22.02.2011</v>
      </c>
      <c r="B395" t="str">
        <f>"25.02.2011"</f>
        <v>25.02.2011</v>
      </c>
      <c r="C395" t="str">
        <f>"22.02.2011"</f>
        <v>22.02.2011</v>
      </c>
      <c r="D395" t="str">
        <f>"21.994,00"</f>
        <v>21.994,00</v>
      </c>
      <c r="E395" t="str">
        <f>"21.994,00"</f>
        <v>21.994,00</v>
      </c>
    </row>
    <row r="398" spans="1:5" x14ac:dyDescent="0.25">
      <c r="A398" t="str">
        <f>"93"</f>
        <v>93</v>
      </c>
      <c r="B398" t="str">
        <f>"DSO Soběslavsko"</f>
        <v>DSO Soběslavsko</v>
      </c>
      <c r="C398" t="str">
        <f>"71204156"</f>
        <v>71204156</v>
      </c>
    </row>
    <row r="399" spans="1:5" x14ac:dyDescent="0.25">
      <c r="A399" t="str">
        <f>"22.02.2011"</f>
        <v>22.02.2011</v>
      </c>
      <c r="B399" t="str">
        <f>"02.03.2011"</f>
        <v>02.03.2011</v>
      </c>
      <c r="C399" t="str">
        <f>"01.03.2011"</f>
        <v>01.03.2011</v>
      </c>
      <c r="D399" t="str">
        <f>"44.026,00"</f>
        <v>44.026,00</v>
      </c>
      <c r="E399" t="str">
        <f>"44.026,00"</f>
        <v>44.026,00</v>
      </c>
    </row>
    <row r="402" spans="1:5" x14ac:dyDescent="0.25">
      <c r="A402" t="str">
        <f>"94"</f>
        <v>94</v>
      </c>
      <c r="B402" t="str">
        <f>"E.ON  Energie a.s. Č.B."</f>
        <v>E.ON  Energie a.s. Č.B.</v>
      </c>
      <c r="C402" t="str">
        <f>"26078201"</f>
        <v>26078201</v>
      </c>
    </row>
    <row r="403" spans="1:5" x14ac:dyDescent="0.25">
      <c r="A403" t="str">
        <f>"22.02.2011"</f>
        <v>22.02.2011</v>
      </c>
      <c r="B403" t="str">
        <f>"04.03.2011"</f>
        <v>04.03.2011</v>
      </c>
      <c r="C403" t="str">
        <f>"04.03.2011"</f>
        <v>04.03.2011</v>
      </c>
      <c r="D403" t="str">
        <f>"-97.749,00"</f>
        <v>-97.749,00</v>
      </c>
      <c r="E403" t="str">
        <f>"-97.749,00"</f>
        <v>-97.749,00</v>
      </c>
    </row>
    <row r="406" spans="1:5" x14ac:dyDescent="0.25">
      <c r="A406" t="str">
        <f>"95"</f>
        <v>95</v>
      </c>
      <c r="B406" t="str">
        <f>"Gordic  s.r.o. Jihlava"</f>
        <v>Gordic  s.r.o. Jihlava</v>
      </c>
      <c r="C406" t="str">
        <f>"47903783"</f>
        <v>47903783</v>
      </c>
    </row>
    <row r="407" spans="1:5" x14ac:dyDescent="0.25">
      <c r="A407" t="str">
        <f>"25.02.2011"</f>
        <v>25.02.2011</v>
      </c>
      <c r="B407" t="str">
        <f>"02.03.2011"</f>
        <v>02.03.2011</v>
      </c>
      <c r="C407" t="str">
        <f>"25.02.2011"</f>
        <v>25.02.2011</v>
      </c>
      <c r="D407" t="str">
        <f>"2.803,20"</f>
        <v>2.803,20</v>
      </c>
      <c r="E407" t="str">
        <f>"2.803,20"</f>
        <v>2.803,20</v>
      </c>
    </row>
    <row r="410" spans="1:5" x14ac:dyDescent="0.25">
      <c r="A410" t="str">
        <f>"96"</f>
        <v>96</v>
      </c>
      <c r="B410" t="str">
        <f>"POPROKAN  s.r.o."</f>
        <v>POPROKAN  s.r.o.</v>
      </c>
      <c r="C410" t="str">
        <f>"64051218"</f>
        <v>64051218</v>
      </c>
    </row>
    <row r="411" spans="1:5" x14ac:dyDescent="0.25">
      <c r="A411" t="str">
        <f>"25.02.2011"</f>
        <v>25.02.2011</v>
      </c>
      <c r="B411" t="str">
        <f>"02.03.2011"</f>
        <v>02.03.2011</v>
      </c>
      <c r="C411" t="str">
        <f>"25.02.2011"</f>
        <v>25.02.2011</v>
      </c>
      <c r="D411" t="str">
        <f>"3.552,00"</f>
        <v>3.552,00</v>
      </c>
      <c r="E411" t="str">
        <f>"3.552,00"</f>
        <v>3.552,00</v>
      </c>
    </row>
    <row r="414" spans="1:5" x14ac:dyDescent="0.25">
      <c r="A414" t="str">
        <f>"97"</f>
        <v>97</v>
      </c>
      <c r="B414" t="str">
        <f>"RUMPOLD s.r.o. Tábor"</f>
        <v>RUMPOLD s.r.o. Tábor</v>
      </c>
      <c r="C414" t="str">
        <f>"61459364"</f>
        <v>61459364</v>
      </c>
    </row>
    <row r="415" spans="1:5" x14ac:dyDescent="0.25">
      <c r="A415" t="str">
        <f>"25.02.2011"</f>
        <v>25.02.2011</v>
      </c>
      <c r="B415" t="str">
        <f>"02.03.2011"</f>
        <v>02.03.2011</v>
      </c>
      <c r="C415" t="str">
        <f>"25.02.2011"</f>
        <v>25.02.2011</v>
      </c>
      <c r="D415" t="str">
        <f>"6.216,00"</f>
        <v>6.216,00</v>
      </c>
      <c r="E415" t="str">
        <f>"6.216,00"</f>
        <v>6.216,00</v>
      </c>
    </row>
    <row r="418" spans="1:5" x14ac:dyDescent="0.25">
      <c r="A418" t="str">
        <f>"98"</f>
        <v>98</v>
      </c>
      <c r="B418" t="str">
        <f>"GIGACOMPUTER Č.B."</f>
        <v>GIGACOMPUTER Č.B.</v>
      </c>
      <c r="C418" t="str">
        <f>"28080289"</f>
        <v>28080289</v>
      </c>
    </row>
    <row r="419" spans="1:5" x14ac:dyDescent="0.25">
      <c r="A419" t="str">
        <f>"25.02.2011"</f>
        <v>25.02.2011</v>
      </c>
      <c r="B419" t="str">
        <f>"03.03.2011"</f>
        <v>03.03.2011</v>
      </c>
      <c r="C419" t="str">
        <f>"25.02.2011"</f>
        <v>25.02.2011</v>
      </c>
      <c r="D419" t="str">
        <f>"6.000,00"</f>
        <v>6.000,00</v>
      </c>
      <c r="E419" t="str">
        <f>"6.000,00"</f>
        <v>6.000,00</v>
      </c>
    </row>
    <row r="421" spans="1:5" x14ac:dyDescent="0.25">
      <c r="A421" t="str">
        <f>"Poř.č.fak."</f>
        <v>Poř.č.fak.</v>
      </c>
      <c r="B421" t="str">
        <f>"Dodavatel"</f>
        <v>Dodavatel</v>
      </c>
      <c r="C421" t="str">
        <f>"IČO"</f>
        <v>IČO</v>
      </c>
    </row>
    <row r="422" spans="1:5" x14ac:dyDescent="0.25">
      <c r="A422" t="str">
        <f>"Došla"</f>
        <v>Došla</v>
      </c>
      <c r="B422" t="str">
        <f>"Splatná"</f>
        <v>Splatná</v>
      </c>
      <c r="C422" t="str">
        <f>"Zaplacená"</f>
        <v>Zaplacená</v>
      </c>
      <c r="D422" t="str">
        <f>"Fakt.částka"</f>
        <v>Fakt.částka</v>
      </c>
      <c r="E422" t="str">
        <f>"Celk.zaplaceno"</f>
        <v>Celk.zaplaceno</v>
      </c>
    </row>
    <row r="423" spans="1:5" x14ac:dyDescent="0.25">
      <c r="B423" t="str">
        <f>"Poznámka"</f>
        <v>Poznámka</v>
      </c>
    </row>
    <row r="424" spans="1:5" x14ac:dyDescent="0.25">
      <c r="A424" t="str">
        <f>"**********"</f>
        <v>**********</v>
      </c>
      <c r="B424" t="str">
        <f>"**************************"</f>
        <v>**************************</v>
      </c>
      <c r="C424" t="str">
        <f>"***********"</f>
        <v>***********</v>
      </c>
      <c r="D424" t="str">
        <f>"***************"</f>
        <v>***************</v>
      </c>
      <c r="E424" t="str">
        <f>"***************"</f>
        <v>***************</v>
      </c>
    </row>
    <row r="426" spans="1:5" x14ac:dyDescent="0.25">
      <c r="A426" t="str">
        <f>"99"</f>
        <v>99</v>
      </c>
      <c r="B426" t="str">
        <f>"HASBU s.r.o. Č.Bud."</f>
        <v>HASBU s.r.o. Č.Bud.</v>
      </c>
      <c r="C426" t="str">
        <f>"14500655"</f>
        <v>14500655</v>
      </c>
    </row>
    <row r="427" spans="1:5" x14ac:dyDescent="0.25">
      <c r="A427" t="str">
        <f>"25.02.2011"</f>
        <v>25.02.2011</v>
      </c>
      <c r="B427" t="str">
        <f>"04.03.2011"</f>
        <v>04.03.2011</v>
      </c>
      <c r="C427" t="str">
        <f>"01.03.2011"</f>
        <v>01.03.2011</v>
      </c>
      <c r="D427" t="str">
        <f>"9.576,00"</f>
        <v>9.576,00</v>
      </c>
      <c r="E427" t="str">
        <f>"9.576,00"</f>
        <v>9.576,00</v>
      </c>
    </row>
    <row r="430" spans="1:5" x14ac:dyDescent="0.25">
      <c r="A430" t="str">
        <f>"100"</f>
        <v>100</v>
      </c>
      <c r="B430" t="str">
        <f>"S a T CZ s.r.o. Praha 4"</f>
        <v>S a T CZ s.r.o. Praha 4</v>
      </c>
      <c r="C430" t="str">
        <f>"44846029"</f>
        <v>44846029</v>
      </c>
    </row>
    <row r="431" spans="1:5" x14ac:dyDescent="0.25">
      <c r="A431" t="str">
        <f>"25.02.2011"</f>
        <v>25.02.2011</v>
      </c>
      <c r="B431" t="str">
        <f>"04.03.2011"</f>
        <v>04.03.2011</v>
      </c>
      <c r="C431" t="str">
        <f>"01.03.2011"</f>
        <v>01.03.2011</v>
      </c>
      <c r="D431" t="str">
        <f>"10.488,00"</f>
        <v>10.488,00</v>
      </c>
      <c r="E431" t="str">
        <f>"10.488,00"</f>
        <v>10.488,00</v>
      </c>
    </row>
    <row r="434" spans="1:5" x14ac:dyDescent="0.25">
      <c r="A434" t="str">
        <f>"101"</f>
        <v>101</v>
      </c>
      <c r="B434" t="str">
        <f>"Správa města Soběslavi"</f>
        <v>Správa města Soběslavi</v>
      </c>
      <c r="C434" t="str">
        <f>"26029987"</f>
        <v>26029987</v>
      </c>
    </row>
    <row r="435" spans="1:5" x14ac:dyDescent="0.25">
      <c r="A435" t="str">
        <f>"25.02.2011"</f>
        <v>25.02.2011</v>
      </c>
      <c r="B435" t="str">
        <f>"07.03.2011"</f>
        <v>07.03.2011</v>
      </c>
      <c r="C435" t="str">
        <f>"03.03.2011"</f>
        <v>03.03.2011</v>
      </c>
      <c r="D435" t="str">
        <f>"5.376,00"</f>
        <v>5.376,00</v>
      </c>
      <c r="E435" t="str">
        <f>"5.376,00"</f>
        <v>5.376,00</v>
      </c>
    </row>
    <row r="438" spans="1:5" x14ac:dyDescent="0.25">
      <c r="A438" t="str">
        <f>"102"</f>
        <v>102</v>
      </c>
      <c r="B438" t="str">
        <f>"Správa města Soběslavi"</f>
        <v>Správa města Soběslavi</v>
      </c>
      <c r="C438" t="str">
        <f>"26029987"</f>
        <v>26029987</v>
      </c>
    </row>
    <row r="439" spans="1:5" x14ac:dyDescent="0.25">
      <c r="A439" t="str">
        <f>"25.02.2011"</f>
        <v>25.02.2011</v>
      </c>
      <c r="B439" t="str">
        <f>"07.03.2011"</f>
        <v>07.03.2011</v>
      </c>
      <c r="C439" t="str">
        <f>"03.03.2011"</f>
        <v>03.03.2011</v>
      </c>
      <c r="D439" t="str">
        <f>"29.407,00"</f>
        <v>29.407,00</v>
      </c>
      <c r="E439" t="str">
        <f>"29.407,00"</f>
        <v>29.407,00</v>
      </c>
    </row>
    <row r="442" spans="1:5" x14ac:dyDescent="0.25">
      <c r="A442" t="str">
        <f>"103"</f>
        <v>103</v>
      </c>
      <c r="B442" t="str">
        <f>"Ing.Libor Kníže Malšice"</f>
        <v>Ing.Libor Kníže Malšice</v>
      </c>
      <c r="C442" t="str">
        <f>"74585029"</f>
        <v>74585029</v>
      </c>
    </row>
    <row r="443" spans="1:5" x14ac:dyDescent="0.25">
      <c r="A443" t="str">
        <f>"25.02.2011"</f>
        <v>25.02.2011</v>
      </c>
      <c r="B443" t="str">
        <f>"09.03.2011"</f>
        <v>09.03.2011</v>
      </c>
      <c r="C443" t="str">
        <f>"07.03.2011"</f>
        <v>07.03.2011</v>
      </c>
      <c r="D443" t="str">
        <f>"66.300,00"</f>
        <v>66.300,00</v>
      </c>
      <c r="E443" t="str">
        <f>"66.300,00"</f>
        <v>66.300,00</v>
      </c>
    </row>
    <row r="446" spans="1:5" x14ac:dyDescent="0.25">
      <c r="A446" t="str">
        <f>"104"</f>
        <v>104</v>
      </c>
      <c r="B446" t="str">
        <f>"EGF Energy,s.r.o. Sušice"</f>
        <v>EGF Energy,s.r.o. Sušice</v>
      </c>
      <c r="C446" t="str">
        <f>"29091039"</f>
        <v>29091039</v>
      </c>
    </row>
    <row r="447" spans="1:5" x14ac:dyDescent="0.25">
      <c r="A447" t="str">
        <f>"25.02.2011"</f>
        <v>25.02.2011</v>
      </c>
      <c r="B447" t="str">
        <f>"09.03.2011"</f>
        <v>09.03.2011</v>
      </c>
      <c r="C447" t="str">
        <f>"07.03.2011"</f>
        <v>07.03.2011</v>
      </c>
      <c r="D447" t="str">
        <f>"72.000,00"</f>
        <v>72.000,00</v>
      </c>
      <c r="E447" t="str">
        <f>"72.000,00"</f>
        <v>72.000,00</v>
      </c>
    </row>
    <row r="450" spans="1:5" x14ac:dyDescent="0.25">
      <c r="A450" t="str">
        <f>"105"</f>
        <v>105</v>
      </c>
      <c r="B450" t="str">
        <f>"Telefónica 02 CR a.s."</f>
        <v>Telefónica 02 CR a.s.</v>
      </c>
      <c r="C450" t="str">
        <f>"60193336"</f>
        <v>60193336</v>
      </c>
    </row>
    <row r="451" spans="1:5" x14ac:dyDescent="0.25">
      <c r="A451" t="str">
        <f>"28.02.2011"</f>
        <v>28.02.2011</v>
      </c>
      <c r="B451" t="str">
        <f>"28.02.2011"</f>
        <v>28.02.2011</v>
      </c>
      <c r="C451" t="str">
        <f>"28.02.2011"</f>
        <v>28.02.2011</v>
      </c>
      <c r="D451" t="str">
        <f>"1.800,00"</f>
        <v>1.800,00</v>
      </c>
      <c r="E451" t="str">
        <f>"1.800,00"</f>
        <v>1.800,00</v>
      </c>
    </row>
    <row r="454" spans="1:5" x14ac:dyDescent="0.25">
      <c r="A454" t="str">
        <f>"106"</f>
        <v>106</v>
      </c>
      <c r="B454" t="str">
        <f>"E.ON  Energie a.s. Č.B."</f>
        <v>E.ON  Energie a.s. Č.B.</v>
      </c>
      <c r="C454" t="str">
        <f>"26078201"</f>
        <v>26078201</v>
      </c>
    </row>
    <row r="455" spans="1:5" x14ac:dyDescent="0.25">
      <c r="A455" t="str">
        <f>"28.02.2011"</f>
        <v>28.02.2011</v>
      </c>
      <c r="B455" t="str">
        <f>"25.02.2011"</f>
        <v>25.02.2011</v>
      </c>
      <c r="C455" t="str">
        <f>"28.02.2011"</f>
        <v>28.02.2011</v>
      </c>
      <c r="D455" t="str">
        <f>"-1.379,00"</f>
        <v>-1.379,00</v>
      </c>
      <c r="E455" t="str">
        <f>"-1.379,00"</f>
        <v>-1.379,00</v>
      </c>
    </row>
    <row r="458" spans="1:5" x14ac:dyDescent="0.25">
      <c r="A458" t="str">
        <f>"107"</f>
        <v>107</v>
      </c>
      <c r="B458" t="str">
        <f>"KONICA MINOLTA s.r.o."</f>
        <v>KONICA MINOLTA s.r.o.</v>
      </c>
      <c r="C458" t="str">
        <f>"00176150"</f>
        <v>00176150</v>
      </c>
    </row>
    <row r="459" spans="1:5" x14ac:dyDescent="0.25">
      <c r="A459" t="str">
        <f>"28.02.2011"</f>
        <v>28.02.2011</v>
      </c>
      <c r="B459" t="str">
        <f>"09.03.2011"</f>
        <v>09.03.2011</v>
      </c>
      <c r="C459" t="str">
        <f>"07.03.2011"</f>
        <v>07.03.2011</v>
      </c>
      <c r="D459" t="str">
        <f>"2.455,50"</f>
        <v>2.455,50</v>
      </c>
      <c r="E459" t="str">
        <f>"2.455,50"</f>
        <v>2.455,50</v>
      </c>
    </row>
    <row r="462" spans="1:5" x14ac:dyDescent="0.25">
      <c r="A462" t="str">
        <f>"108"</f>
        <v>108</v>
      </c>
      <c r="B462" t="str">
        <f>"ČEVAK a.s. Č.Budějovice"</f>
        <v>ČEVAK a.s. Č.Budějovice</v>
      </c>
      <c r="C462" t="str">
        <f>"60849657"</f>
        <v>60849657</v>
      </c>
    </row>
    <row r="463" spans="1:5" x14ac:dyDescent="0.25">
      <c r="A463" t="str">
        <f>"28.02.2011"</f>
        <v>28.02.2011</v>
      </c>
      <c r="B463" t="str">
        <f>"09.03.2011"</f>
        <v>09.03.2011</v>
      </c>
      <c r="C463" t="str">
        <f>"07.03.2011"</f>
        <v>07.03.2011</v>
      </c>
      <c r="D463" t="str">
        <f>"24.000,00"</f>
        <v>24.000,00</v>
      </c>
      <c r="E463" t="str">
        <f>"24.000,00"</f>
        <v>24.000,00</v>
      </c>
    </row>
    <row r="466" spans="1:5" x14ac:dyDescent="0.25">
      <c r="A466" t="str">
        <f>"109"</f>
        <v>109</v>
      </c>
      <c r="B466" t="str">
        <f>"OPTYS  s.r.o. Opava"</f>
        <v>OPTYS  s.r.o. Opava</v>
      </c>
      <c r="C466" t="str">
        <f>"42869048"</f>
        <v>42869048</v>
      </c>
    </row>
    <row r="467" spans="1:5" x14ac:dyDescent="0.25">
      <c r="A467" t="str">
        <f>"28.02.2011"</f>
        <v>28.02.2011</v>
      </c>
      <c r="B467" t="str">
        <f>"10.03.2011"</f>
        <v>10.03.2011</v>
      </c>
      <c r="C467" t="str">
        <f>"08.03.2011"</f>
        <v>08.03.2011</v>
      </c>
      <c r="D467" t="str">
        <f>"600,00"</f>
        <v>600,00</v>
      </c>
      <c r="E467" t="str">
        <f>"600,00"</f>
        <v>600,00</v>
      </c>
    </row>
    <row r="470" spans="1:5" x14ac:dyDescent="0.25">
      <c r="A470" t="str">
        <f>"110"</f>
        <v>110</v>
      </c>
      <c r="B470" t="str">
        <f>"Správa města Soběslavi"</f>
        <v>Správa města Soběslavi</v>
      </c>
      <c r="C470" t="str">
        <f>"26029987"</f>
        <v>26029987</v>
      </c>
    </row>
    <row r="471" spans="1:5" x14ac:dyDescent="0.25">
      <c r="A471" t="str">
        <f>"28.02.2011"</f>
        <v>28.02.2011</v>
      </c>
      <c r="B471" t="str">
        <f>"10.03.2011"</f>
        <v>10.03.2011</v>
      </c>
      <c r="C471" t="str">
        <f>"08.03.2011"</f>
        <v>08.03.2011</v>
      </c>
      <c r="D471" t="str">
        <f>"4.542,50"</f>
        <v>4.542,50</v>
      </c>
      <c r="E471" t="str">
        <f>"4.542,50"</f>
        <v>4.542,50</v>
      </c>
    </row>
    <row r="474" spans="1:5" x14ac:dyDescent="0.25">
      <c r="A474" t="str">
        <f>"111"</f>
        <v>111</v>
      </c>
      <c r="B474" t="str">
        <f>"Autoservis Jindra s.r.o."</f>
        <v>Autoservis Jindra s.r.o.</v>
      </c>
      <c r="C474" t="str">
        <f>"63277956"</f>
        <v>63277956</v>
      </c>
    </row>
    <row r="475" spans="1:5" x14ac:dyDescent="0.25">
      <c r="A475" t="str">
        <f>"28.02.2011"</f>
        <v>28.02.2011</v>
      </c>
      <c r="B475" t="str">
        <f>"10.03.2011"</f>
        <v>10.03.2011</v>
      </c>
      <c r="C475" t="str">
        <f>"08.03.2011"</f>
        <v>08.03.2011</v>
      </c>
      <c r="D475" t="str">
        <f>"6.293,00"</f>
        <v>6.293,00</v>
      </c>
      <c r="E475" t="str">
        <f>"6.293,00"</f>
        <v>6.293,00</v>
      </c>
    </row>
    <row r="478" spans="1:5" x14ac:dyDescent="0.25">
      <c r="A478" t="str">
        <f>"112"</f>
        <v>112</v>
      </c>
      <c r="B478" t="str">
        <f>"Java Třeboň"</f>
        <v>Java Třeboň</v>
      </c>
      <c r="C478" t="str">
        <f>"15792994"</f>
        <v>15792994</v>
      </c>
    </row>
    <row r="479" spans="1:5" x14ac:dyDescent="0.25">
      <c r="A479" t="str">
        <f>"28.02.2011"</f>
        <v>28.02.2011</v>
      </c>
      <c r="B479" t="str">
        <f>"10.03.2011"</f>
        <v>10.03.2011</v>
      </c>
      <c r="C479" t="str">
        <f>"08.03.2011"</f>
        <v>08.03.2011</v>
      </c>
      <c r="D479" t="str">
        <f>"33.198,00"</f>
        <v>33.198,00</v>
      </c>
      <c r="E479" t="str">
        <f>"33.198,00"</f>
        <v>33.198,00</v>
      </c>
    </row>
    <row r="481" spans="1:5" x14ac:dyDescent="0.25">
      <c r="A481" t="str">
        <f>"Poř.č.fak."</f>
        <v>Poř.č.fak.</v>
      </c>
      <c r="B481" t="str">
        <f>"Dodavatel"</f>
        <v>Dodavatel</v>
      </c>
      <c r="C481" t="str">
        <f>"IČO"</f>
        <v>IČO</v>
      </c>
    </row>
    <row r="482" spans="1:5" x14ac:dyDescent="0.25">
      <c r="A482" t="str">
        <f>"Došla"</f>
        <v>Došla</v>
      </c>
      <c r="B482" t="str">
        <f>"Splatná"</f>
        <v>Splatná</v>
      </c>
      <c r="C482" t="str">
        <f>"Zaplacená"</f>
        <v>Zaplacená</v>
      </c>
      <c r="D482" t="str">
        <f>"Fakt.částka"</f>
        <v>Fakt.částka</v>
      </c>
      <c r="E482" t="str">
        <f>"Celk.zaplaceno"</f>
        <v>Celk.zaplaceno</v>
      </c>
    </row>
    <row r="483" spans="1:5" x14ac:dyDescent="0.25">
      <c r="B483" t="str">
        <f>"Poznámka"</f>
        <v>Poznámka</v>
      </c>
    </row>
    <row r="484" spans="1:5" x14ac:dyDescent="0.25">
      <c r="A484" t="str">
        <f>"**********"</f>
        <v>**********</v>
      </c>
      <c r="B484" t="str">
        <f>"**************************"</f>
        <v>**************************</v>
      </c>
      <c r="C484" t="str">
        <f>"***********"</f>
        <v>***********</v>
      </c>
      <c r="D484" t="str">
        <f>"***************"</f>
        <v>***************</v>
      </c>
      <c r="E484" t="str">
        <f>"***************"</f>
        <v>***************</v>
      </c>
    </row>
    <row r="486" spans="1:5" x14ac:dyDescent="0.25">
      <c r="A486" t="str">
        <f>"113"</f>
        <v>113</v>
      </c>
      <c r="B486" t="str">
        <f>"ACTIVA s.r.o. Praha 9"</f>
        <v>ACTIVA s.r.o. Praha 9</v>
      </c>
      <c r="C486" t="str">
        <f>"48111198"</f>
        <v>48111198</v>
      </c>
    </row>
    <row r="487" spans="1:5" x14ac:dyDescent="0.25">
      <c r="A487" t="str">
        <f>"28.02.2011"</f>
        <v>28.02.2011</v>
      </c>
      <c r="B487" t="str">
        <f>"11.03.2011"</f>
        <v>11.03.2011</v>
      </c>
      <c r="C487" t="str">
        <f>"10.03.2011"</f>
        <v>10.03.2011</v>
      </c>
      <c r="D487" t="str">
        <f>"8.343,00"</f>
        <v>8.343,00</v>
      </c>
      <c r="E487" t="str">
        <f>"8.343,00"</f>
        <v>8.343,00</v>
      </c>
    </row>
    <row r="490" spans="1:5" x14ac:dyDescent="0.25">
      <c r="A490" t="str">
        <f>"114"</f>
        <v>114</v>
      </c>
      <c r="B490" t="str">
        <f>"MEDIATEL s.r.o. Praha 8"</f>
        <v>MEDIATEL s.r.o. Praha 8</v>
      </c>
      <c r="C490" t="str">
        <f>"26757052"</f>
        <v>26757052</v>
      </c>
    </row>
    <row r="491" spans="1:5" x14ac:dyDescent="0.25">
      <c r="A491" t="str">
        <f>"28.02.2011"</f>
        <v>28.02.2011</v>
      </c>
      <c r="B491" t="str">
        <f>"12.03.2011"</f>
        <v>12.03.2011</v>
      </c>
      <c r="C491" t="str">
        <f>"10.03.2011"</f>
        <v>10.03.2011</v>
      </c>
      <c r="D491" t="str">
        <f>"10.956,00"</f>
        <v>10.956,00</v>
      </c>
      <c r="E491" t="str">
        <f>"10.956,00"</f>
        <v>10.956,00</v>
      </c>
    </row>
    <row r="494" spans="1:5" x14ac:dyDescent="0.25">
      <c r="A494" t="str">
        <f>"115"</f>
        <v>115</v>
      </c>
      <c r="B494" t="str">
        <f>"Spilka a Říha s.r.o. Sobě"</f>
        <v>Spilka a Říha s.r.o. Sobě</v>
      </c>
      <c r="C494" t="str">
        <f>"45021309"</f>
        <v>45021309</v>
      </c>
    </row>
    <row r="495" spans="1:5" x14ac:dyDescent="0.25">
      <c r="A495" t="str">
        <f>"28.02.2011"</f>
        <v>28.02.2011</v>
      </c>
      <c r="B495" t="str">
        <f>"21.03.2011"</f>
        <v>21.03.2011</v>
      </c>
      <c r="C495" t="str">
        <f>"17.03.2011"</f>
        <v>17.03.2011</v>
      </c>
      <c r="D495" t="str">
        <f>"6.223.586,00"</f>
        <v>6.223.586,00</v>
      </c>
      <c r="E495" t="str">
        <f>"6.223.586,00"</f>
        <v>6.223.586,00</v>
      </c>
    </row>
    <row r="498" spans="1:5" x14ac:dyDescent="0.25">
      <c r="A498" t="str">
        <f>"116"</f>
        <v>116</v>
      </c>
      <c r="B498" t="str">
        <f>"RUMPOLD s.r.o. Tábor"</f>
        <v>RUMPOLD s.r.o. Tábor</v>
      </c>
      <c r="C498" t="str">
        <f>"61459364"</f>
        <v>61459364</v>
      </c>
    </row>
    <row r="499" spans="1:5" x14ac:dyDescent="0.25">
      <c r="A499" t="str">
        <f>"28.02.2011"</f>
        <v>28.02.2011</v>
      </c>
      <c r="B499" t="str">
        <f>"30.03.2011"</f>
        <v>30.03.2011</v>
      </c>
      <c r="C499" t="str">
        <f>"21.03.2011"</f>
        <v>21.03.2011</v>
      </c>
      <c r="D499" t="str">
        <f>"8.832,00"</f>
        <v>8.832,00</v>
      </c>
      <c r="E499" t="str">
        <f>"8.832,00"</f>
        <v>8.832,00</v>
      </c>
    </row>
    <row r="502" spans="1:5" x14ac:dyDescent="0.25">
      <c r="A502" t="str">
        <f>"117"</f>
        <v>117</v>
      </c>
      <c r="B502" t="str">
        <f>"AV MEDIA, a.s. Praha"</f>
        <v>AV MEDIA, a.s. Praha</v>
      </c>
      <c r="C502" t="str">
        <f>"48108375"</f>
        <v>48108375</v>
      </c>
    </row>
    <row r="503" spans="1:5" x14ac:dyDescent="0.25">
      <c r="A503" t="str">
        <f>"28.02.2011"</f>
        <v>28.02.2011</v>
      </c>
      <c r="B503" t="str">
        <f>"27.03.2011"</f>
        <v>27.03.2011</v>
      </c>
      <c r="C503" t="str">
        <f>"08.03.2011"</f>
        <v>08.03.2011</v>
      </c>
      <c r="D503" t="str">
        <f>"2.206.800,00"</f>
        <v>2.206.800,00</v>
      </c>
      <c r="E503" t="str">
        <f>"2.206.800,00"</f>
        <v>2.206.800,00</v>
      </c>
    </row>
    <row r="506" spans="1:5" x14ac:dyDescent="0.25">
      <c r="A506" t="str">
        <f>"118"</f>
        <v>118</v>
      </c>
      <c r="B506" t="str">
        <f>"DCS Systems,s.r.o. Praha"</f>
        <v>DCS Systems,s.r.o. Praha</v>
      </c>
      <c r="C506" t="str">
        <f>"26178842"</f>
        <v>26178842</v>
      </c>
    </row>
    <row r="507" spans="1:5" x14ac:dyDescent="0.25">
      <c r="A507" t="str">
        <f>"09.03.2011"</f>
        <v>09.03.2011</v>
      </c>
      <c r="B507" t="str">
        <f>"11.03.2011"</f>
        <v>11.03.2011</v>
      </c>
      <c r="C507" t="str">
        <f>"10.03.2011"</f>
        <v>10.03.2011</v>
      </c>
      <c r="D507" t="str">
        <f>"18.026,00"</f>
        <v>18.026,00</v>
      </c>
      <c r="E507" t="str">
        <f>"18.026,00"</f>
        <v>18.026,00</v>
      </c>
    </row>
    <row r="510" spans="1:5" x14ac:dyDescent="0.25">
      <c r="A510" t="str">
        <f>"119"</f>
        <v>119</v>
      </c>
      <c r="B510" t="str">
        <f>"Česká pošta, s.p. Praha"</f>
        <v>Česká pošta, s.p. Praha</v>
      </c>
      <c r="C510" t="str">
        <f>"47114983"</f>
        <v>47114983</v>
      </c>
    </row>
    <row r="511" spans="1:5" x14ac:dyDescent="0.25">
      <c r="A511" t="str">
        <f>"09.03.2011"</f>
        <v>09.03.2011</v>
      </c>
      <c r="B511" t="str">
        <f>"14.03.2011"</f>
        <v>14.03.2011</v>
      </c>
      <c r="C511" t="str">
        <f>"10.03.2011"</f>
        <v>10.03.2011</v>
      </c>
      <c r="D511" t="str">
        <f>"190,00"</f>
        <v>190,00</v>
      </c>
      <c r="E511" t="str">
        <f>"190,00"</f>
        <v>190,00</v>
      </c>
    </row>
    <row r="514" spans="1:5" x14ac:dyDescent="0.25">
      <c r="A514" t="str">
        <f>"120"</f>
        <v>120</v>
      </c>
      <c r="B514" t="str">
        <f>"DCS Systems,s.r.o. Praha"</f>
        <v>DCS Systems,s.r.o. Praha</v>
      </c>
      <c r="C514" t="str">
        <f>"26178842"</f>
        <v>26178842</v>
      </c>
    </row>
    <row r="515" spans="1:5" x14ac:dyDescent="0.25">
      <c r="A515" t="str">
        <f>"09.03.2011"</f>
        <v>09.03.2011</v>
      </c>
      <c r="B515" t="str">
        <f>"14.03.2011"</f>
        <v>14.03.2011</v>
      </c>
      <c r="C515" t="str">
        <f>"10.03.2011"</f>
        <v>10.03.2011</v>
      </c>
      <c r="D515" t="str">
        <f>"2.160,00"</f>
        <v>2.160,00</v>
      </c>
      <c r="E515" t="str">
        <f>"2.160,00"</f>
        <v>2.160,00</v>
      </c>
    </row>
    <row r="518" spans="1:5" x14ac:dyDescent="0.25">
      <c r="A518" t="str">
        <f>"121"</f>
        <v>121</v>
      </c>
      <c r="B518" t="str">
        <f>"TARIKA,sdružení  Tábor"</f>
        <v>TARIKA,sdružení  Tábor</v>
      </c>
      <c r="C518" t="str">
        <f>"46699961"</f>
        <v>46699961</v>
      </c>
    </row>
    <row r="519" spans="1:5" x14ac:dyDescent="0.25">
      <c r="A519" t="str">
        <f>"09.03.2011"</f>
        <v>09.03.2011</v>
      </c>
      <c r="B519" t="str">
        <f>"14.03.2011"</f>
        <v>14.03.2011</v>
      </c>
      <c r="C519" t="str">
        <f>"10.03.2011"</f>
        <v>10.03.2011</v>
      </c>
      <c r="D519" t="str">
        <f>"30.000,00"</f>
        <v>30.000,00</v>
      </c>
      <c r="E519" t="str">
        <f>"30.000,00"</f>
        <v>30.000,00</v>
      </c>
    </row>
    <row r="522" spans="1:5" x14ac:dyDescent="0.25">
      <c r="A522" t="str">
        <f>"122"</f>
        <v>122</v>
      </c>
      <c r="B522" t="str">
        <f>"DCS Systems,s.r.o. Praha"</f>
        <v>DCS Systems,s.r.o. Praha</v>
      </c>
      <c r="C522" t="str">
        <f>"26178842"</f>
        <v>26178842</v>
      </c>
    </row>
    <row r="523" spans="1:5" x14ac:dyDescent="0.25">
      <c r="A523" t="str">
        <f>"09.03.2011"</f>
        <v>09.03.2011</v>
      </c>
      <c r="B523" t="str">
        <f>"14.03.2011"</f>
        <v>14.03.2011</v>
      </c>
      <c r="C523" t="str">
        <f>"10.03.2011"</f>
        <v>10.03.2011</v>
      </c>
      <c r="D523" t="str">
        <f>"165.841,00"</f>
        <v>165.841,00</v>
      </c>
      <c r="E523" t="str">
        <f>"165.841,00"</f>
        <v>165.841,00</v>
      </c>
    </row>
    <row r="526" spans="1:5" x14ac:dyDescent="0.25">
      <c r="A526" t="str">
        <f>"123"</f>
        <v>123</v>
      </c>
      <c r="B526" t="str">
        <f>"BOWA s.r.o. Znojmo"</f>
        <v>BOWA s.r.o. Znojmo</v>
      </c>
      <c r="C526" t="str">
        <f>"25596861"</f>
        <v>25596861</v>
      </c>
    </row>
    <row r="527" spans="1:5" x14ac:dyDescent="0.25">
      <c r="A527" t="str">
        <f>"09.03.2011"</f>
        <v>09.03.2011</v>
      </c>
      <c r="B527" t="str">
        <f>"15.03.2011"</f>
        <v>15.03.2011</v>
      </c>
      <c r="C527" t="str">
        <f>"10.03.2011"</f>
        <v>10.03.2011</v>
      </c>
      <c r="D527" t="str">
        <f>"6.780,00"</f>
        <v>6.780,00</v>
      </c>
      <c r="E527" t="str">
        <f>"6.780,00"</f>
        <v>6.780,00</v>
      </c>
    </row>
    <row r="530" spans="1:5" x14ac:dyDescent="0.25">
      <c r="A530" t="str">
        <f>"124"</f>
        <v>124</v>
      </c>
      <c r="B530" t="str">
        <f>"Gordic  s.r.o. Jihlava"</f>
        <v>Gordic  s.r.o. Jihlava</v>
      </c>
      <c r="C530" t="str">
        <f>"47903783"</f>
        <v>47903783</v>
      </c>
    </row>
    <row r="531" spans="1:5" x14ac:dyDescent="0.25">
      <c r="A531" t="str">
        <f>"09.03.2011"</f>
        <v>09.03.2011</v>
      </c>
      <c r="B531" t="str">
        <f>"15.03.2011"</f>
        <v>15.03.2011</v>
      </c>
      <c r="C531" t="str">
        <f>"10.03.2011"</f>
        <v>10.03.2011</v>
      </c>
      <c r="D531" t="str">
        <f>"32.652,00"</f>
        <v>32.652,00</v>
      </c>
      <c r="E531" t="str">
        <f>"32.652,00"</f>
        <v>32.652,00</v>
      </c>
    </row>
    <row r="534" spans="1:5" x14ac:dyDescent="0.25">
      <c r="A534" t="str">
        <f>"125"</f>
        <v>125</v>
      </c>
      <c r="B534" t="str">
        <f>"SRM-CONSULT Plzeň"</f>
        <v>SRM-CONSULT Plzeň</v>
      </c>
      <c r="C534" t="str">
        <f>"25211935"</f>
        <v>25211935</v>
      </c>
    </row>
    <row r="535" spans="1:5" x14ac:dyDescent="0.25">
      <c r="A535" t="str">
        <f>"09.03.2011"</f>
        <v>09.03.2011</v>
      </c>
      <c r="B535" t="str">
        <f>"16.03.2011"</f>
        <v>16.03.2011</v>
      </c>
      <c r="C535" t="str">
        <f>"14.03.2011"</f>
        <v>14.03.2011</v>
      </c>
      <c r="D535" t="str">
        <f>"19.200,00"</f>
        <v>19.200,00</v>
      </c>
      <c r="E535" t="str">
        <f>"19.200,00"</f>
        <v>19.200,00</v>
      </c>
    </row>
    <row r="538" spans="1:5" x14ac:dyDescent="0.25">
      <c r="A538" t="str">
        <f>"126"</f>
        <v>126</v>
      </c>
      <c r="B538" t="str">
        <f>"Sodexo Pass ČR a.s. Praha"</f>
        <v>Sodexo Pass ČR a.s. Praha</v>
      </c>
      <c r="C538" t="str">
        <f>"61860476"</f>
        <v>61860476</v>
      </c>
    </row>
    <row r="539" spans="1:5" x14ac:dyDescent="0.25">
      <c r="A539" t="str">
        <f>"09.03.2011"</f>
        <v>09.03.2011</v>
      </c>
      <c r="B539" t="str">
        <f>"16.03.2011"</f>
        <v>16.03.2011</v>
      </c>
      <c r="C539" t="str">
        <f>"14.03.2011"</f>
        <v>14.03.2011</v>
      </c>
      <c r="D539" t="str">
        <f>"48.204,00"</f>
        <v>48.204,00</v>
      </c>
      <c r="E539" t="str">
        <f>"48.204,00"</f>
        <v>48.204,00</v>
      </c>
    </row>
    <row r="541" spans="1:5" x14ac:dyDescent="0.25">
      <c r="A541" t="str">
        <f>"Poř.č.fak."</f>
        <v>Poř.č.fak.</v>
      </c>
      <c r="B541" t="str">
        <f>"Dodavatel"</f>
        <v>Dodavatel</v>
      </c>
      <c r="C541" t="str">
        <f>"IČO"</f>
        <v>IČO</v>
      </c>
    </row>
    <row r="542" spans="1:5" x14ac:dyDescent="0.25">
      <c r="A542" t="str">
        <f>"Došla"</f>
        <v>Došla</v>
      </c>
      <c r="B542" t="str">
        <f>"Splatná"</f>
        <v>Splatná</v>
      </c>
      <c r="C542" t="str">
        <f>"Zaplacená"</f>
        <v>Zaplacená</v>
      </c>
      <c r="D542" t="str">
        <f>"Fakt.částka"</f>
        <v>Fakt.částka</v>
      </c>
      <c r="E542" t="str">
        <f>"Celk.zaplaceno"</f>
        <v>Celk.zaplaceno</v>
      </c>
    </row>
    <row r="543" spans="1:5" x14ac:dyDescent="0.25">
      <c r="B543" t="str">
        <f>"Poznámka"</f>
        <v>Poznámka</v>
      </c>
    </row>
    <row r="544" spans="1:5" x14ac:dyDescent="0.25">
      <c r="A544" t="str">
        <f>"**********"</f>
        <v>**********</v>
      </c>
      <c r="B544" t="str">
        <f>"**************************"</f>
        <v>**************************</v>
      </c>
      <c r="C544" t="str">
        <f>"***********"</f>
        <v>***********</v>
      </c>
      <c r="D544" t="str">
        <f>"***************"</f>
        <v>***************</v>
      </c>
      <c r="E544" t="str">
        <f>"***************"</f>
        <v>***************</v>
      </c>
    </row>
    <row r="546" spans="1:5" x14ac:dyDescent="0.25">
      <c r="A546" t="str">
        <f>"127"</f>
        <v>127</v>
      </c>
      <c r="B546" t="str">
        <f>"Česká pošta, s.p. Praha"</f>
        <v>Česká pošta, s.p. Praha</v>
      </c>
      <c r="C546" t="str">
        <f>"47114983"</f>
        <v>47114983</v>
      </c>
    </row>
    <row r="547" spans="1:5" x14ac:dyDescent="0.25">
      <c r="A547" t="str">
        <f>"09.03.2011"</f>
        <v>09.03.2011</v>
      </c>
      <c r="B547" t="str">
        <f>"17.03.2011"</f>
        <v>17.03.2011</v>
      </c>
      <c r="C547" t="str">
        <f>"17.03.2011"</f>
        <v>17.03.2011</v>
      </c>
      <c r="D547" t="str">
        <f>"-396,00"</f>
        <v>-396,00</v>
      </c>
      <c r="E547" t="str">
        <f>"-396,00"</f>
        <v>-396,00</v>
      </c>
    </row>
    <row r="550" spans="1:5" x14ac:dyDescent="0.25">
      <c r="A550" t="str">
        <f>"128"</f>
        <v>128</v>
      </c>
      <c r="B550" t="str">
        <f>"Telefónica 02 CR, a.s."</f>
        <v>Telefónica 02 CR, a.s.</v>
      </c>
      <c r="C550" t="str">
        <f>"60193336"</f>
        <v>60193336</v>
      </c>
    </row>
    <row r="551" spans="1:5" x14ac:dyDescent="0.25">
      <c r="A551" t="str">
        <f>"09.03.2011"</f>
        <v>09.03.2011</v>
      </c>
      <c r="B551" t="str">
        <f>"17.03.2011"</f>
        <v>17.03.2011</v>
      </c>
      <c r="C551" t="str">
        <f>"15.03.2011"</f>
        <v>15.03.2011</v>
      </c>
      <c r="D551" t="str">
        <f>"109,86"</f>
        <v>109,86</v>
      </c>
      <c r="E551" t="str">
        <f>"109,86"</f>
        <v>109,86</v>
      </c>
    </row>
    <row r="554" spans="1:5" x14ac:dyDescent="0.25">
      <c r="A554" t="str">
        <f>"129"</f>
        <v>129</v>
      </c>
      <c r="B554" t="str">
        <f>"Česká pošta ,s.p. Praha 1"</f>
        <v>Česká pošta ,s.p. Praha 1</v>
      </c>
      <c r="C554" t="str">
        <f>"47114983"</f>
        <v>47114983</v>
      </c>
    </row>
    <row r="555" spans="1:5" x14ac:dyDescent="0.25">
      <c r="A555" t="str">
        <f>"09.03.2011"</f>
        <v>09.03.2011</v>
      </c>
      <c r="B555" t="str">
        <f>"17.03.2011"</f>
        <v>17.03.2011</v>
      </c>
      <c r="C555" t="str">
        <f>"15.03.2011"</f>
        <v>15.03.2011</v>
      </c>
      <c r="D555" t="str">
        <f>"384,00"</f>
        <v>384,00</v>
      </c>
      <c r="E555" t="str">
        <f>"384,00"</f>
        <v>384,00</v>
      </c>
    </row>
    <row r="558" spans="1:5" x14ac:dyDescent="0.25">
      <c r="A558" t="str">
        <f>"130"</f>
        <v>130</v>
      </c>
      <c r="B558" t="str">
        <f>"AZ KORT,s.r.o. Liberec"</f>
        <v>AZ KORT,s.r.o. Liberec</v>
      </c>
      <c r="C558" t="str">
        <f>"25499718"</f>
        <v>25499718</v>
      </c>
    </row>
    <row r="559" spans="1:5" x14ac:dyDescent="0.25">
      <c r="A559" t="str">
        <f>"09.03.2011"</f>
        <v>09.03.2011</v>
      </c>
      <c r="B559" t="str">
        <f>"17.03.2011"</f>
        <v>17.03.2011</v>
      </c>
      <c r="C559" t="str">
        <f>"15.03.2011"</f>
        <v>15.03.2011</v>
      </c>
      <c r="D559" t="str">
        <f>"926,00"</f>
        <v>926,00</v>
      </c>
      <c r="E559" t="str">
        <f>"926,00"</f>
        <v>926,00</v>
      </c>
    </row>
    <row r="562" spans="1:5" x14ac:dyDescent="0.25">
      <c r="A562" t="str">
        <f>"131"</f>
        <v>131</v>
      </c>
      <c r="B562" t="str">
        <f>"JP-KONTAKT, s.r.o."</f>
        <v>JP-KONTAKT, s.r.o.</v>
      </c>
      <c r="C562" t="str">
        <f>"25922378"</f>
        <v>25922378</v>
      </c>
    </row>
    <row r="563" spans="1:5" x14ac:dyDescent="0.25">
      <c r="A563" t="str">
        <f>"09.03.2011"</f>
        <v>09.03.2011</v>
      </c>
      <c r="B563" t="str">
        <f>"17.03.2011"</f>
        <v>17.03.2011</v>
      </c>
      <c r="C563" t="str">
        <f>"15.03.2011"</f>
        <v>15.03.2011</v>
      </c>
      <c r="D563" t="str">
        <f>"27.179,00"</f>
        <v>27.179,00</v>
      </c>
      <c r="E563" t="str">
        <f>"27.179,00"</f>
        <v>27.179,00</v>
      </c>
    </row>
    <row r="566" spans="1:5" x14ac:dyDescent="0.25">
      <c r="A566" t="str">
        <f>"132"</f>
        <v>132</v>
      </c>
      <c r="B566" t="str">
        <f>"Česká pošta ,s.p. Praha 1"</f>
        <v>Česká pošta ,s.p. Praha 1</v>
      </c>
      <c r="C566" t="str">
        <f>"47114983"</f>
        <v>47114983</v>
      </c>
    </row>
    <row r="567" spans="1:5" x14ac:dyDescent="0.25">
      <c r="A567" t="str">
        <f>"09.03.2011"</f>
        <v>09.03.2011</v>
      </c>
      <c r="B567" t="str">
        <f>"17.03.2011"</f>
        <v>17.03.2011</v>
      </c>
      <c r="C567" t="str">
        <f>"15.03.2011"</f>
        <v>15.03.2011</v>
      </c>
      <c r="D567" t="str">
        <f>"41.780,00"</f>
        <v>41.780,00</v>
      </c>
      <c r="E567" t="str">
        <f>"41.780,00"</f>
        <v>41.780,00</v>
      </c>
    </row>
    <row r="570" spans="1:5" x14ac:dyDescent="0.25">
      <c r="A570" t="str">
        <f>"133"</f>
        <v>133</v>
      </c>
      <c r="B570" t="str">
        <f>"Telefónica 02 CR a.s."</f>
        <v>Telefónica 02 CR a.s.</v>
      </c>
      <c r="C570" t="str">
        <f>"60193336"</f>
        <v>60193336</v>
      </c>
    </row>
    <row r="571" spans="1:5" x14ac:dyDescent="0.25">
      <c r="A571" t="str">
        <f>"09.03.2011"</f>
        <v>09.03.2011</v>
      </c>
      <c r="B571" t="str">
        <f>"18.03.2011"</f>
        <v>18.03.2011</v>
      </c>
      <c r="C571" t="str">
        <f>"15.03.2011"</f>
        <v>15.03.2011</v>
      </c>
      <c r="D571" t="str">
        <f>"1,20"</f>
        <v>1,20</v>
      </c>
      <c r="E571" t="str">
        <f>"1,20"</f>
        <v>1,20</v>
      </c>
    </row>
    <row r="574" spans="1:5" x14ac:dyDescent="0.25">
      <c r="A574" t="str">
        <f>"134"</f>
        <v>134</v>
      </c>
      <c r="B574" t="str">
        <f>"Technické služby, s.r.o."</f>
        <v>Technické služby, s.r.o.</v>
      </c>
      <c r="C574" t="str">
        <f>"62502565"</f>
        <v>62502565</v>
      </c>
    </row>
    <row r="575" spans="1:5" x14ac:dyDescent="0.25">
      <c r="A575" t="str">
        <f>"09.03.2011"</f>
        <v>09.03.2011</v>
      </c>
      <c r="B575" t="str">
        <f>"18.03.2011"</f>
        <v>18.03.2011</v>
      </c>
      <c r="C575" t="str">
        <f>"16.03.2011"</f>
        <v>16.03.2011</v>
      </c>
      <c r="D575" t="str">
        <f>"4.800,00"</f>
        <v>4.800,00</v>
      </c>
      <c r="E575" t="str">
        <f>"4.800,00"</f>
        <v>4.800,00</v>
      </c>
    </row>
    <row r="578" spans="1:5" x14ac:dyDescent="0.25">
      <c r="A578" t="str">
        <f>"135"</f>
        <v>135</v>
      </c>
      <c r="B578" t="str">
        <f>"SHS"</f>
        <v>SHS</v>
      </c>
      <c r="C578" t="str">
        <f>"65992466"</f>
        <v>65992466</v>
      </c>
    </row>
    <row r="579" spans="1:5" x14ac:dyDescent="0.25">
      <c r="A579" t="str">
        <f>"09.03.2011"</f>
        <v>09.03.2011</v>
      </c>
      <c r="B579" t="str">
        <f>"18.03.2011"</f>
        <v>18.03.2011</v>
      </c>
      <c r="C579" t="str">
        <f>"16.03.2011"</f>
        <v>16.03.2011</v>
      </c>
      <c r="D579" t="str">
        <f>"11.200,00"</f>
        <v>11.200,00</v>
      </c>
      <c r="E579" t="str">
        <f>"11.200,00"</f>
        <v>11.200,00</v>
      </c>
    </row>
    <row r="582" spans="1:5" x14ac:dyDescent="0.25">
      <c r="A582" t="str">
        <f>"136"</f>
        <v>136</v>
      </c>
      <c r="B582" t="str">
        <f>"Zdeněk Vedral ELKOM"</f>
        <v>Zdeněk Vedral ELKOM</v>
      </c>
      <c r="C582" t="str">
        <f>"46704230"</f>
        <v>46704230</v>
      </c>
    </row>
    <row r="583" spans="1:5" x14ac:dyDescent="0.25">
      <c r="A583" t="str">
        <f>"09.03.2011"</f>
        <v>09.03.2011</v>
      </c>
      <c r="B583" t="str">
        <f>"18.03.2011"</f>
        <v>18.03.2011</v>
      </c>
      <c r="C583" t="str">
        <f>"16.03.2011"</f>
        <v>16.03.2011</v>
      </c>
      <c r="D583" t="str">
        <f>"35.259,00"</f>
        <v>35.259,00</v>
      </c>
      <c r="E583" t="str">
        <f>"35.259,00"</f>
        <v>35.259,00</v>
      </c>
    </row>
    <row r="586" spans="1:5" x14ac:dyDescent="0.25">
      <c r="A586" t="str">
        <f>"137"</f>
        <v>137</v>
      </c>
      <c r="B586" t="str">
        <f>"GEOVAP s.r.o. Pardubice"</f>
        <v>GEOVAP s.r.o. Pardubice</v>
      </c>
      <c r="C586" t="str">
        <f>"15049248"</f>
        <v>15049248</v>
      </c>
    </row>
    <row r="587" spans="1:5" x14ac:dyDescent="0.25">
      <c r="A587" t="str">
        <f>"09.03.2011"</f>
        <v>09.03.2011</v>
      </c>
      <c r="B587" t="str">
        <f>"19.03.2011"</f>
        <v>19.03.2011</v>
      </c>
      <c r="C587" t="str">
        <f>"16.03.2011"</f>
        <v>16.03.2011</v>
      </c>
      <c r="D587" t="str">
        <f>"2.000,00"</f>
        <v>2.000,00</v>
      </c>
      <c r="E587" t="str">
        <f>"2.000,00"</f>
        <v>2.000,00</v>
      </c>
    </row>
    <row r="590" spans="1:5" x14ac:dyDescent="0.25">
      <c r="A590" t="str">
        <f>"138"</f>
        <v>138</v>
      </c>
      <c r="B590" t="str">
        <f>"GEOVAP s.r.o. Pardubice"</f>
        <v>GEOVAP s.r.o. Pardubice</v>
      </c>
      <c r="C590" t="str">
        <f>"15049248"</f>
        <v>15049248</v>
      </c>
    </row>
    <row r="591" spans="1:5" x14ac:dyDescent="0.25">
      <c r="A591" t="str">
        <f>"09.03.2011"</f>
        <v>09.03.2011</v>
      </c>
      <c r="B591" t="str">
        <f>"19.03.2011"</f>
        <v>19.03.2011</v>
      </c>
      <c r="C591" t="str">
        <f>"16.03.2011"</f>
        <v>16.03.2011</v>
      </c>
      <c r="D591" t="str">
        <f>"5.010,00"</f>
        <v>5.010,00</v>
      </c>
      <c r="E591" t="str">
        <f>"5.010,00"</f>
        <v>5.010,00</v>
      </c>
    </row>
    <row r="594" spans="1:5" x14ac:dyDescent="0.25">
      <c r="A594" t="str">
        <f>"139"</f>
        <v>139</v>
      </c>
      <c r="B594" t="str">
        <f>"Ing. Jiří Lagner  Soběsla"</f>
        <v>Ing. Jiří Lagner  Soběsla</v>
      </c>
      <c r="C594" t="str">
        <f>"10326227"</f>
        <v>10326227</v>
      </c>
    </row>
    <row r="595" spans="1:5" x14ac:dyDescent="0.25">
      <c r="A595" t="str">
        <f>"09.03.2011"</f>
        <v>09.03.2011</v>
      </c>
      <c r="B595" t="str">
        <f>"21.03.2011"</f>
        <v>21.03.2011</v>
      </c>
      <c r="C595" t="str">
        <f>"18.03.2011"</f>
        <v>18.03.2011</v>
      </c>
      <c r="D595" t="str">
        <f>"4.200,00"</f>
        <v>4.200,00</v>
      </c>
      <c r="E595" t="str">
        <f>"4.200,00"</f>
        <v>4.200,00</v>
      </c>
    </row>
    <row r="598" spans="1:5" x14ac:dyDescent="0.25">
      <c r="A598" t="str">
        <f>"140"</f>
        <v>140</v>
      </c>
      <c r="B598" t="str">
        <f>"REGIONWEB Zlobice"</f>
        <v>REGIONWEB Zlobice</v>
      </c>
      <c r="C598" t="str">
        <f>"74541293"</f>
        <v>74541293</v>
      </c>
    </row>
    <row r="599" spans="1:5" x14ac:dyDescent="0.25">
      <c r="A599" t="str">
        <f>"09.03.2011"</f>
        <v>09.03.2011</v>
      </c>
      <c r="B599" t="str">
        <f>"31.03.2011"</f>
        <v>31.03.2011</v>
      </c>
      <c r="C599" t="str">
        <f>"21.03.2011"</f>
        <v>21.03.2011</v>
      </c>
      <c r="D599" t="str">
        <f>"840,00"</f>
        <v>840,00</v>
      </c>
      <c r="E599" t="str">
        <f>"840,00"</f>
        <v>840,00</v>
      </c>
    </row>
    <row r="601" spans="1:5" x14ac:dyDescent="0.25">
      <c r="A601" t="str">
        <f>"Poř.č.fak."</f>
        <v>Poř.č.fak.</v>
      </c>
      <c r="B601" t="str">
        <f>"Dodavatel"</f>
        <v>Dodavatel</v>
      </c>
      <c r="C601" t="str">
        <f>"IČO"</f>
        <v>IČO</v>
      </c>
    </row>
    <row r="602" spans="1:5" x14ac:dyDescent="0.25">
      <c r="A602" t="str">
        <f>"Došla"</f>
        <v>Došla</v>
      </c>
      <c r="B602" t="str">
        <f>"Splatná"</f>
        <v>Splatná</v>
      </c>
      <c r="C602" t="str">
        <f>"Zaplacená"</f>
        <v>Zaplacená</v>
      </c>
      <c r="D602" t="str">
        <f>"Fakt.částka"</f>
        <v>Fakt.částka</v>
      </c>
      <c r="E602" t="str">
        <f>"Celk.zaplaceno"</f>
        <v>Celk.zaplaceno</v>
      </c>
    </row>
    <row r="603" spans="1:5" x14ac:dyDescent="0.25">
      <c r="B603" t="str">
        <f>"Poznámka"</f>
        <v>Poznámka</v>
      </c>
    </row>
    <row r="604" spans="1:5" x14ac:dyDescent="0.25">
      <c r="A604" t="str">
        <f>"**********"</f>
        <v>**********</v>
      </c>
      <c r="B604" t="str">
        <f>"**************************"</f>
        <v>**************************</v>
      </c>
      <c r="C604" t="str">
        <f>"***********"</f>
        <v>***********</v>
      </c>
      <c r="D604" t="str">
        <f>"***************"</f>
        <v>***************</v>
      </c>
      <c r="E604" t="str">
        <f>"***************"</f>
        <v>***************</v>
      </c>
    </row>
    <row r="606" spans="1:5" x14ac:dyDescent="0.25">
      <c r="A606" t="str">
        <f>"141"</f>
        <v>141</v>
      </c>
      <c r="B606" t="str">
        <f>"BENZINA ,s.r.o. Praha 4"</f>
        <v>BENZINA ,s.r.o. Praha 4</v>
      </c>
      <c r="C606" t="str">
        <f>"60193328"</f>
        <v>60193328</v>
      </c>
    </row>
    <row r="607" spans="1:5" x14ac:dyDescent="0.25">
      <c r="A607" t="str">
        <f>"14.03.2011"</f>
        <v>14.03.2011</v>
      </c>
      <c r="B607" t="str">
        <f>"07.03.2011"</f>
        <v>07.03.2011</v>
      </c>
      <c r="C607" t="str">
        <f>"07.03.2011"</f>
        <v>07.03.2011</v>
      </c>
      <c r="D607" t="str">
        <f>"9.117,45"</f>
        <v>9.117,45</v>
      </c>
      <c r="E607" t="str">
        <f>"9.117,45"</f>
        <v>9.117,45</v>
      </c>
    </row>
    <row r="610" spans="1:5" x14ac:dyDescent="0.25">
      <c r="A610" t="str">
        <f>"142"</f>
        <v>142</v>
      </c>
      <c r="B610" t="str">
        <f>"Hajný-T s.r.o."</f>
        <v>Hajný-T s.r.o.</v>
      </c>
      <c r="C610" t="str">
        <f>"63886839"</f>
        <v>63886839</v>
      </c>
    </row>
    <row r="611" spans="1:5" x14ac:dyDescent="0.25">
      <c r="A611" t="str">
        <f>"14.03.2011"</f>
        <v>14.03.2011</v>
      </c>
      <c r="B611" t="str">
        <f>"14.03.2011"</f>
        <v>14.03.2011</v>
      </c>
      <c r="C611" t="str">
        <f>"15.03.2011"</f>
        <v>15.03.2011</v>
      </c>
      <c r="D611" t="str">
        <f>"2.000,00"</f>
        <v>2.000,00</v>
      </c>
      <c r="E611" t="str">
        <f>"2.000,00"</f>
        <v>2.000,00</v>
      </c>
    </row>
    <row r="614" spans="1:5" x14ac:dyDescent="0.25">
      <c r="A614" t="str">
        <f>"143"</f>
        <v>143</v>
      </c>
      <c r="B614" t="str">
        <f>"Hajný-T s.r.o."</f>
        <v>Hajný-T s.r.o.</v>
      </c>
      <c r="C614" t="str">
        <f>"63886839"</f>
        <v>63886839</v>
      </c>
    </row>
    <row r="615" spans="1:5" x14ac:dyDescent="0.25">
      <c r="A615" t="str">
        <f>"14.03.2011"</f>
        <v>14.03.2011</v>
      </c>
      <c r="B615" t="str">
        <f>"14.03.2011"</f>
        <v>14.03.2011</v>
      </c>
      <c r="C615" t="str">
        <f>"15.03.2011"</f>
        <v>15.03.2011</v>
      </c>
      <c r="D615" t="str">
        <f>"63.519,00"</f>
        <v>63.519,00</v>
      </c>
      <c r="E615" t="str">
        <f>"63.519,00"</f>
        <v>63.519,00</v>
      </c>
    </row>
    <row r="618" spans="1:5" x14ac:dyDescent="0.25">
      <c r="A618" t="str">
        <f>"144"</f>
        <v>144</v>
      </c>
      <c r="B618" t="str">
        <f>"Telefónica 02 CR, a.s."</f>
        <v>Telefónica 02 CR, a.s.</v>
      </c>
      <c r="C618" t="str">
        <f>"60193336"</f>
        <v>60193336</v>
      </c>
    </row>
    <row r="619" spans="1:5" x14ac:dyDescent="0.25">
      <c r="A619" t="str">
        <f>"14.03.2011"</f>
        <v>14.03.2011</v>
      </c>
      <c r="B619" t="str">
        <f>"16.03.2011"</f>
        <v>16.03.2011</v>
      </c>
      <c r="C619" t="str">
        <f>"16.03.2011"</f>
        <v>16.03.2011</v>
      </c>
      <c r="D619" t="str">
        <f>"25.097,23"</f>
        <v>25.097,23</v>
      </c>
      <c r="E619" t="str">
        <f>"25.097,23"</f>
        <v>25.097,23</v>
      </c>
    </row>
    <row r="622" spans="1:5" x14ac:dyDescent="0.25">
      <c r="A622" t="str">
        <f>"145"</f>
        <v>145</v>
      </c>
      <c r="B622" t="str">
        <f>"KONICA MINOLTA s.r.o."</f>
        <v>KONICA MINOLTA s.r.o.</v>
      </c>
      <c r="C622" t="str">
        <f>"00176150"</f>
        <v>00176150</v>
      </c>
    </row>
    <row r="623" spans="1:5" x14ac:dyDescent="0.25">
      <c r="A623" t="str">
        <f>"14.03.2011"</f>
        <v>14.03.2011</v>
      </c>
      <c r="B623" t="str">
        <f>"17.03.2011"</f>
        <v>17.03.2011</v>
      </c>
      <c r="C623" t="str">
        <f>"15.03.2011"</f>
        <v>15.03.2011</v>
      </c>
      <c r="D623" t="str">
        <f>"361,10"</f>
        <v>361,10</v>
      </c>
      <c r="E623" t="str">
        <f>"361,10"</f>
        <v>361,10</v>
      </c>
    </row>
    <row r="626" spans="1:5" x14ac:dyDescent="0.25">
      <c r="A626" t="str">
        <f>"146"</f>
        <v>146</v>
      </c>
      <c r="B626" t="str">
        <f>"KONICA MINOLTA s.r.o."</f>
        <v>KONICA MINOLTA s.r.o.</v>
      </c>
      <c r="C626" t="str">
        <f>"00176150"</f>
        <v>00176150</v>
      </c>
    </row>
    <row r="627" spans="1:5" x14ac:dyDescent="0.25">
      <c r="A627" t="str">
        <f>"14.03.2011"</f>
        <v>14.03.2011</v>
      </c>
      <c r="B627" t="str">
        <f>"17.03.2011"</f>
        <v>17.03.2011</v>
      </c>
      <c r="C627" t="str">
        <f>"15.03.2011"</f>
        <v>15.03.2011</v>
      </c>
      <c r="D627" t="str">
        <f>"1.716,00"</f>
        <v>1.716,00</v>
      </c>
      <c r="E627" t="str">
        <f>"1.716,00"</f>
        <v>1.716,00</v>
      </c>
    </row>
    <row r="630" spans="1:5" x14ac:dyDescent="0.25">
      <c r="A630" t="str">
        <f>"147"</f>
        <v>147</v>
      </c>
      <c r="B630" t="str">
        <f>"KONICA MINOLTA s.r.o."</f>
        <v>KONICA MINOLTA s.r.o.</v>
      </c>
      <c r="C630" t="str">
        <f>"00176150"</f>
        <v>00176150</v>
      </c>
    </row>
    <row r="631" spans="1:5" x14ac:dyDescent="0.25">
      <c r="A631" t="str">
        <f>"14.03.2011"</f>
        <v>14.03.2011</v>
      </c>
      <c r="B631" t="str">
        <f>"17.03.2011"</f>
        <v>17.03.2011</v>
      </c>
      <c r="C631" t="str">
        <f>"15.03.2011"</f>
        <v>15.03.2011</v>
      </c>
      <c r="D631" t="str">
        <f>"3.552,00"</f>
        <v>3.552,00</v>
      </c>
      <c r="E631" t="str">
        <f>"3.552,00"</f>
        <v>3.552,00</v>
      </c>
    </row>
    <row r="634" spans="1:5" x14ac:dyDescent="0.25">
      <c r="A634" t="str">
        <f>"148"</f>
        <v>148</v>
      </c>
      <c r="B634" t="str">
        <f>"LS Kamna s.r.o.Strakonice"</f>
        <v>LS Kamna s.r.o.Strakonice</v>
      </c>
      <c r="C634" t="str">
        <f>"28131860"</f>
        <v>28131860</v>
      </c>
    </row>
    <row r="635" spans="1:5" x14ac:dyDescent="0.25">
      <c r="A635" t="str">
        <f>"14.03.2011"</f>
        <v>14.03.2011</v>
      </c>
      <c r="B635" t="str">
        <f>"17.03.2011"</f>
        <v>17.03.2011</v>
      </c>
      <c r="C635" t="str">
        <f>"15.03.2011"</f>
        <v>15.03.2011</v>
      </c>
      <c r="D635" t="str">
        <f>"52.031,00"</f>
        <v>52.031,00</v>
      </c>
      <c r="E635" t="str">
        <f>"52.031,00"</f>
        <v>52.031,00</v>
      </c>
    </row>
    <row r="638" spans="1:5" x14ac:dyDescent="0.25">
      <c r="A638" t="str">
        <f>"149"</f>
        <v>149</v>
      </c>
      <c r="B638" t="str">
        <f>"Telefónica 02 CR a.s."</f>
        <v>Telefónica 02 CR a.s.</v>
      </c>
      <c r="C638" t="str">
        <f>"60193336"</f>
        <v>60193336</v>
      </c>
    </row>
    <row r="639" spans="1:5" x14ac:dyDescent="0.25">
      <c r="A639" t="str">
        <f>"14.03.2011"</f>
        <v>14.03.2011</v>
      </c>
      <c r="B639" t="str">
        <f>"18.03.2011"</f>
        <v>18.03.2011</v>
      </c>
      <c r="C639" t="str">
        <f>"15.03.2011"</f>
        <v>15.03.2011</v>
      </c>
      <c r="D639" t="str">
        <f>"8,35"</f>
        <v>8,35</v>
      </c>
      <c r="E639" t="str">
        <f>"8,35"</f>
        <v>8,35</v>
      </c>
    </row>
    <row r="642" spans="1:5" x14ac:dyDescent="0.25">
      <c r="A642" t="str">
        <f>"150"</f>
        <v>150</v>
      </c>
      <c r="B642" t="str">
        <f>"Telefónica 02 CR a.s."</f>
        <v>Telefónica 02 CR a.s.</v>
      </c>
      <c r="C642" t="str">
        <f>"60193336"</f>
        <v>60193336</v>
      </c>
    </row>
    <row r="643" spans="1:5" x14ac:dyDescent="0.25">
      <c r="A643" t="str">
        <f>"14.03.2011"</f>
        <v>14.03.2011</v>
      </c>
      <c r="B643" t="str">
        <f>"18.03.2011"</f>
        <v>18.03.2011</v>
      </c>
      <c r="C643" t="str">
        <f>"15.03.2011"</f>
        <v>15.03.2011</v>
      </c>
      <c r="D643" t="str">
        <f>"4.084,88"</f>
        <v>4.084,88</v>
      </c>
      <c r="E643" t="str">
        <f>"4.084,88"</f>
        <v>4.084,88</v>
      </c>
    </row>
    <row r="646" spans="1:5" x14ac:dyDescent="0.25">
      <c r="A646" t="str">
        <f>"151"</f>
        <v>151</v>
      </c>
      <c r="B646" t="str">
        <f>"ing. Pantoflíček Soběslav"</f>
        <v>ing. Pantoflíček Soběslav</v>
      </c>
      <c r="C646" t="str">
        <f>"18302220"</f>
        <v>18302220</v>
      </c>
    </row>
    <row r="647" spans="1:5" x14ac:dyDescent="0.25">
      <c r="A647" t="str">
        <f>"14.03.2011"</f>
        <v>14.03.2011</v>
      </c>
      <c r="B647" t="str">
        <f>"22.03.2011"</f>
        <v>22.03.2011</v>
      </c>
      <c r="C647" t="str">
        <f>"18.03.2011"</f>
        <v>18.03.2011</v>
      </c>
      <c r="D647" t="str">
        <f>"57.960,00"</f>
        <v>57.960,00</v>
      </c>
      <c r="E647" t="str">
        <f>"57.960,00"</f>
        <v>57.960,00</v>
      </c>
    </row>
    <row r="650" spans="1:5" x14ac:dyDescent="0.25">
      <c r="A650" t="str">
        <f>"152"</f>
        <v>152</v>
      </c>
      <c r="B650" t="str">
        <f>"Česká pošta, s.p. Praha"</f>
        <v>Česká pošta, s.p. Praha</v>
      </c>
      <c r="C650" t="str">
        <f>"47114983"</f>
        <v>47114983</v>
      </c>
    </row>
    <row r="651" spans="1:5" x14ac:dyDescent="0.25">
      <c r="A651" t="str">
        <f>"14.03.2011"</f>
        <v>14.03.2011</v>
      </c>
      <c r="B651" t="str">
        <f>"23.03.2011"</f>
        <v>23.03.2011</v>
      </c>
      <c r="C651" t="str">
        <f>"18.03.2011"</f>
        <v>18.03.2011</v>
      </c>
      <c r="D651" t="str">
        <f>"240,00"</f>
        <v>240,00</v>
      </c>
      <c r="E651" t="str">
        <f>"240,00"</f>
        <v>240,00</v>
      </c>
    </row>
    <row r="654" spans="1:5" x14ac:dyDescent="0.25">
      <c r="A654" t="str">
        <f>"153"</f>
        <v>153</v>
      </c>
      <c r="B654" t="str">
        <f>"Správa města Soběslavi"</f>
        <v>Správa města Soběslavi</v>
      </c>
      <c r="C654" t="str">
        <f>"26029987"</f>
        <v>26029987</v>
      </c>
    </row>
    <row r="655" spans="1:5" x14ac:dyDescent="0.25">
      <c r="A655" t="str">
        <f>"14.03.2011"</f>
        <v>14.03.2011</v>
      </c>
      <c r="B655" t="str">
        <f>"23.03.2011"</f>
        <v>23.03.2011</v>
      </c>
      <c r="C655" t="str">
        <f>"21.03.2011"</f>
        <v>21.03.2011</v>
      </c>
      <c r="D655" t="str">
        <f>"940.000,00"</f>
        <v>940.000,00</v>
      </c>
      <c r="E655" t="str">
        <f>"940.000,00"</f>
        <v>940.000,00</v>
      </c>
    </row>
    <row r="658" spans="1:5" x14ac:dyDescent="0.25">
      <c r="A658" t="str">
        <f>"154"</f>
        <v>154</v>
      </c>
      <c r="B658" t="str">
        <f>"Mareš Zbyněk Tábor"</f>
        <v>Mareš Zbyněk Tábor</v>
      </c>
      <c r="C658" t="str">
        <f>"69541850"</f>
        <v>69541850</v>
      </c>
    </row>
    <row r="659" spans="1:5" x14ac:dyDescent="0.25">
      <c r="A659" t="str">
        <f>"14.03.2011"</f>
        <v>14.03.2011</v>
      </c>
      <c r="B659" t="str">
        <f>"24.03.2011"</f>
        <v>24.03.2011</v>
      </c>
      <c r="C659" t="str">
        <f>"21.03.2011"</f>
        <v>21.03.2011</v>
      </c>
      <c r="D659" t="str">
        <f>"18.921,00"</f>
        <v>18.921,00</v>
      </c>
      <c r="E659" t="str">
        <f>"18.921,00"</f>
        <v>18.921,00</v>
      </c>
    </row>
    <row r="661" spans="1:5" x14ac:dyDescent="0.25">
      <c r="A661" t="str">
        <f>"Poř.č.fak."</f>
        <v>Poř.č.fak.</v>
      </c>
      <c r="B661" t="str">
        <f>"Dodavatel"</f>
        <v>Dodavatel</v>
      </c>
      <c r="C661" t="str">
        <f>"IČO"</f>
        <v>IČO</v>
      </c>
    </row>
    <row r="662" spans="1:5" x14ac:dyDescent="0.25">
      <c r="A662" t="str">
        <f>"Došla"</f>
        <v>Došla</v>
      </c>
      <c r="B662" t="str">
        <f>"Splatná"</f>
        <v>Splatná</v>
      </c>
      <c r="C662" t="str">
        <f>"Zaplacená"</f>
        <v>Zaplacená</v>
      </c>
      <c r="D662" t="str">
        <f>"Fakt.částka"</f>
        <v>Fakt.částka</v>
      </c>
      <c r="E662" t="str">
        <f>"Celk.zaplaceno"</f>
        <v>Celk.zaplaceno</v>
      </c>
    </row>
    <row r="663" spans="1:5" x14ac:dyDescent="0.25">
      <c r="B663" t="str">
        <f>"Poznámka"</f>
        <v>Poznámka</v>
      </c>
    </row>
    <row r="664" spans="1:5" x14ac:dyDescent="0.25">
      <c r="A664" t="str">
        <f>"**********"</f>
        <v>**********</v>
      </c>
      <c r="B664" t="str">
        <f>"**************************"</f>
        <v>**************************</v>
      </c>
      <c r="C664" t="str">
        <f>"***********"</f>
        <v>***********</v>
      </c>
      <c r="D664" t="str">
        <f>"***************"</f>
        <v>***************</v>
      </c>
      <c r="E664" t="str">
        <f>"***************"</f>
        <v>***************</v>
      </c>
    </row>
    <row r="666" spans="1:5" x14ac:dyDescent="0.25">
      <c r="A666" t="str">
        <f>"155"</f>
        <v>155</v>
      </c>
      <c r="B666" t="str">
        <f>"Boháč Hlavatce"</f>
        <v>Boháč Hlavatce</v>
      </c>
      <c r="C666" t="str">
        <f>"47268379"</f>
        <v>47268379</v>
      </c>
    </row>
    <row r="667" spans="1:5" x14ac:dyDescent="0.25">
      <c r="A667" t="str">
        <f>"14.03.2011"</f>
        <v>14.03.2011</v>
      </c>
      <c r="B667" t="str">
        <f>"25.03.2011"</f>
        <v>25.03.2011</v>
      </c>
      <c r="C667" t="str">
        <f>"21.03.2011"</f>
        <v>21.03.2011</v>
      </c>
      <c r="D667" t="str">
        <f>"4.800,00"</f>
        <v>4.800,00</v>
      </c>
      <c r="E667" t="str">
        <f>"4.800,00"</f>
        <v>4.800,00</v>
      </c>
    </row>
    <row r="670" spans="1:5" x14ac:dyDescent="0.25">
      <c r="A670" t="str">
        <f>"156"</f>
        <v>156</v>
      </c>
      <c r="B670" t="str">
        <f>"QASAR s.r.o. Mažice"</f>
        <v>QASAR s.r.o. Mažice</v>
      </c>
      <c r="C670" t="str">
        <f>"25192469"</f>
        <v>25192469</v>
      </c>
    </row>
    <row r="671" spans="1:5" x14ac:dyDescent="0.25">
      <c r="A671" t="str">
        <f>"14.03.2011"</f>
        <v>14.03.2011</v>
      </c>
      <c r="B671" t="str">
        <f>"31.03.2011"</f>
        <v>31.03.2011</v>
      </c>
      <c r="C671" t="str">
        <f>"21.03.2011"</f>
        <v>21.03.2011</v>
      </c>
      <c r="D671" t="str">
        <f>"4.800,00"</f>
        <v>4.800,00</v>
      </c>
      <c r="E671" t="str">
        <f>"4.800,00"</f>
        <v>4.800,00</v>
      </c>
    </row>
    <row r="674" spans="1:5" x14ac:dyDescent="0.25">
      <c r="A674" t="str">
        <f>"157"</f>
        <v>157</v>
      </c>
      <c r="B674" t="str">
        <f>"Ladislav Prchlík Klempíř"</f>
        <v>Ladislav Prchlík Klempíř</v>
      </c>
      <c r="C674" t="str">
        <f>"73479080"</f>
        <v>73479080</v>
      </c>
    </row>
    <row r="675" spans="1:5" x14ac:dyDescent="0.25">
      <c r="A675" t="str">
        <f>"22.03.2011"</f>
        <v>22.03.2011</v>
      </c>
      <c r="B675" t="str">
        <f>"17.03.2011"</f>
        <v>17.03.2011</v>
      </c>
      <c r="C675" t="str">
        <f>"22.03.2011"</f>
        <v>22.03.2011</v>
      </c>
      <c r="D675" t="str">
        <f>"6.900,00"</f>
        <v>6.900,00</v>
      </c>
      <c r="E675" t="str">
        <f>"6.900,00"</f>
        <v>6.900,00</v>
      </c>
    </row>
    <row r="678" spans="1:5" x14ac:dyDescent="0.25">
      <c r="A678" t="str">
        <f>"158"</f>
        <v>158</v>
      </c>
      <c r="B678" t="str">
        <f>"TJ SPARTAK Soběslav"</f>
        <v>TJ SPARTAK Soběslav</v>
      </c>
      <c r="C678" t="str">
        <f>"46632191"</f>
        <v>46632191</v>
      </c>
    </row>
    <row r="679" spans="1:5" x14ac:dyDescent="0.25">
      <c r="A679" t="str">
        <f>"22.03.2011"</f>
        <v>22.03.2011</v>
      </c>
      <c r="B679" t="str">
        <f>"24.03.2011"</f>
        <v>24.03.2011</v>
      </c>
      <c r="C679" t="str">
        <f>"22.03.2011"</f>
        <v>22.03.2011</v>
      </c>
      <c r="D679" t="str">
        <f>"2.550,00"</f>
        <v>2.550,00</v>
      </c>
      <c r="E679" t="str">
        <f>"2.550,00"</f>
        <v>2.550,00</v>
      </c>
    </row>
    <row r="682" spans="1:5" x14ac:dyDescent="0.25">
      <c r="A682" t="str">
        <f>"159"</f>
        <v>159</v>
      </c>
      <c r="B682" t="str">
        <f>"Ing. Kučerka Brno"</f>
        <v>Ing. Kučerka Brno</v>
      </c>
      <c r="C682" t="str">
        <f>"12184993"</f>
        <v>12184993</v>
      </c>
    </row>
    <row r="683" spans="1:5" x14ac:dyDescent="0.25">
      <c r="A683" t="str">
        <f>"22.03.2011"</f>
        <v>22.03.2011</v>
      </c>
      <c r="B683" t="str">
        <f>"24.03.2011"</f>
        <v>24.03.2011</v>
      </c>
      <c r="C683" t="str">
        <f>"22.03.2011"</f>
        <v>22.03.2011</v>
      </c>
      <c r="D683" t="str">
        <f>"3.024,00"</f>
        <v>3.024,00</v>
      </c>
      <c r="E683" t="str">
        <f>"3.024,00"</f>
        <v>3.024,00</v>
      </c>
    </row>
    <row r="686" spans="1:5" x14ac:dyDescent="0.25">
      <c r="A686" t="str">
        <f>"160"</f>
        <v>160</v>
      </c>
      <c r="B686" t="str">
        <f>"ASKA-ing.arch. Jan Stach"</f>
        <v>ASKA-ing.arch. Jan Stach</v>
      </c>
      <c r="C686" t="str">
        <f>"10323406"</f>
        <v>10323406</v>
      </c>
    </row>
    <row r="687" spans="1:5" x14ac:dyDescent="0.25">
      <c r="A687" t="str">
        <f>"22.03.2011"</f>
        <v>22.03.2011</v>
      </c>
      <c r="B687" t="str">
        <f>"24.03.2011"</f>
        <v>24.03.2011</v>
      </c>
      <c r="C687" t="str">
        <f>"22.03.2011"</f>
        <v>22.03.2011</v>
      </c>
      <c r="D687" t="str">
        <f>"600.000,00"</f>
        <v>600.000,00</v>
      </c>
      <c r="E687" t="str">
        <f>"600.000,00"</f>
        <v>600.000,00</v>
      </c>
    </row>
    <row r="690" spans="1:5" x14ac:dyDescent="0.25">
      <c r="A690" t="str">
        <f>"161"</f>
        <v>161</v>
      </c>
      <c r="B690" t="str">
        <f>"Jiří Polák Tábor"</f>
        <v>Jiří Polák Tábor</v>
      </c>
      <c r="C690" t="str">
        <f>"74560425"</f>
        <v>74560425</v>
      </c>
    </row>
    <row r="691" spans="1:5" x14ac:dyDescent="0.25">
      <c r="A691" t="str">
        <f>"22.03.2011"</f>
        <v>22.03.2011</v>
      </c>
      <c r="B691" t="str">
        <f>"25.03.2011"</f>
        <v>25.03.2011</v>
      </c>
      <c r="C691" t="str">
        <f>"22.03.2011"</f>
        <v>22.03.2011</v>
      </c>
      <c r="D691" t="str">
        <f>"8.400,00"</f>
        <v>8.400,00</v>
      </c>
      <c r="E691" t="str">
        <f>"8.400,00"</f>
        <v>8.400,00</v>
      </c>
    </row>
    <row r="694" spans="1:5" x14ac:dyDescent="0.25">
      <c r="A694" t="str">
        <f>"162"</f>
        <v>162</v>
      </c>
      <c r="B694" t="str">
        <f>"GIGACOMPUTER Č.B."</f>
        <v>GIGACOMPUTER Č.B.</v>
      </c>
      <c r="C694" t="str">
        <f>"28080289"</f>
        <v>28080289</v>
      </c>
    </row>
    <row r="695" spans="1:5" x14ac:dyDescent="0.25">
      <c r="A695" t="str">
        <f>"22.03.2011"</f>
        <v>22.03.2011</v>
      </c>
      <c r="B695" t="str">
        <f>"29.03.2011"</f>
        <v>29.03.2011</v>
      </c>
      <c r="C695" t="str">
        <f>"24.03.2011"</f>
        <v>24.03.2011</v>
      </c>
      <c r="D695" t="str">
        <f>"6.000,00"</f>
        <v>6.000,00</v>
      </c>
      <c r="E695" t="str">
        <f>"6.000,00"</f>
        <v>6.000,00</v>
      </c>
    </row>
    <row r="698" spans="1:5" x14ac:dyDescent="0.25">
      <c r="A698" t="str">
        <f>"163"</f>
        <v>163</v>
      </c>
      <c r="B698" t="str">
        <f>"ECO  s.r.o. Tábor"</f>
        <v>ECO  s.r.o. Tábor</v>
      </c>
      <c r="C698" t="str">
        <f>"63907828"</f>
        <v>63907828</v>
      </c>
    </row>
    <row r="699" spans="1:5" x14ac:dyDescent="0.25">
      <c r="A699" t="str">
        <f>"22.03.2011"</f>
        <v>22.03.2011</v>
      </c>
      <c r="B699" t="str">
        <f>"29.03.2011"</f>
        <v>29.03.2011</v>
      </c>
      <c r="C699" t="str">
        <f>"24.03.2011"</f>
        <v>24.03.2011</v>
      </c>
      <c r="D699" t="str">
        <f>"15.000,00"</f>
        <v>15.000,00</v>
      </c>
      <c r="E699" t="str">
        <f>"15.000,00"</f>
        <v>15.000,00</v>
      </c>
    </row>
    <row r="702" spans="1:5" x14ac:dyDescent="0.25">
      <c r="A702" t="str">
        <f>"164"</f>
        <v>164</v>
      </c>
      <c r="B702" t="str">
        <f>"Jiří Beneš Tábor"</f>
        <v>Jiří Beneš Tábor</v>
      </c>
      <c r="C702" t="str">
        <f>"12905631"</f>
        <v>12905631</v>
      </c>
    </row>
    <row r="703" spans="1:5" x14ac:dyDescent="0.25">
      <c r="A703" t="str">
        <f>"22.03.2011"</f>
        <v>22.03.2011</v>
      </c>
      <c r="B703" t="str">
        <f>"29.03.2011"</f>
        <v>29.03.2011</v>
      </c>
      <c r="C703" t="str">
        <f>"25.03.2011"</f>
        <v>25.03.2011</v>
      </c>
      <c r="D703" t="str">
        <f>"15.447,00"</f>
        <v>15.447,00</v>
      </c>
      <c r="E703" t="str">
        <f>"15.447,00"</f>
        <v>15.447,00</v>
      </c>
    </row>
    <row r="706" spans="1:5" x14ac:dyDescent="0.25">
      <c r="A706" t="str">
        <f>"165"</f>
        <v>165</v>
      </c>
      <c r="B706" t="str">
        <f>"T.O.D.O.K. s.r.o.Soběslav"</f>
        <v>T.O.D.O.K. s.r.o.Soběslav</v>
      </c>
      <c r="C706" t="str">
        <f>"48201936"</f>
        <v>48201936</v>
      </c>
    </row>
    <row r="707" spans="1:5" x14ac:dyDescent="0.25">
      <c r="A707" t="str">
        <f>"22.03.2011"</f>
        <v>22.03.2011</v>
      </c>
      <c r="B707" t="str">
        <f>"29.03.2011"</f>
        <v>29.03.2011</v>
      </c>
      <c r="C707" t="str">
        <f>"24.03.2011"</f>
        <v>24.03.2011</v>
      </c>
      <c r="D707" t="str">
        <f>"18.602,00"</f>
        <v>18.602,00</v>
      </c>
      <c r="E707" t="str">
        <f>"18.602,00"</f>
        <v>18.602,00</v>
      </c>
    </row>
    <row r="710" spans="1:5" x14ac:dyDescent="0.25">
      <c r="A710" t="str">
        <f>"166"</f>
        <v>166</v>
      </c>
      <c r="B710" t="str">
        <f>"Gordic  s.r.o. Jihlava"</f>
        <v>Gordic  s.r.o. Jihlava</v>
      </c>
      <c r="C710" t="str">
        <f>"47903783"</f>
        <v>47903783</v>
      </c>
    </row>
    <row r="711" spans="1:5" x14ac:dyDescent="0.25">
      <c r="A711" t="str">
        <f>"22.03.2011"</f>
        <v>22.03.2011</v>
      </c>
      <c r="B711" t="str">
        <f>"30.03.2011"</f>
        <v>30.03.2011</v>
      </c>
      <c r="C711" t="str">
        <f>"25.03.2011"</f>
        <v>25.03.2011</v>
      </c>
      <c r="D711" t="str">
        <f>"3.988,80"</f>
        <v>3.988,80</v>
      </c>
      <c r="E711" t="str">
        <f>"3.988,80"</f>
        <v>3.988,80</v>
      </c>
    </row>
    <row r="714" spans="1:5" x14ac:dyDescent="0.25">
      <c r="A714" t="str">
        <f>"167"</f>
        <v>167</v>
      </c>
      <c r="B714" t="str">
        <f>"Správa města Soběslavi"</f>
        <v>Správa města Soběslavi</v>
      </c>
      <c r="C714" t="str">
        <f>"26029987"</f>
        <v>26029987</v>
      </c>
    </row>
    <row r="715" spans="1:5" x14ac:dyDescent="0.25">
      <c r="A715" t="str">
        <f>"22.03.2011"</f>
        <v>22.03.2011</v>
      </c>
      <c r="B715" t="str">
        <f>"01.04.2011"</f>
        <v>01.04.2011</v>
      </c>
      <c r="C715" t="str">
        <f>"29.03.2011"</f>
        <v>29.03.2011</v>
      </c>
      <c r="D715" t="str">
        <f>"881,00"</f>
        <v>881,00</v>
      </c>
      <c r="E715" t="str">
        <f>"881,00"</f>
        <v>881,00</v>
      </c>
    </row>
    <row r="718" spans="1:5" x14ac:dyDescent="0.25">
      <c r="A718" t="str">
        <f>"168"</f>
        <v>168</v>
      </c>
      <c r="B718" t="str">
        <f>"Správa města Soběslavi"</f>
        <v>Správa města Soběslavi</v>
      </c>
      <c r="C718" t="str">
        <f>"26029987"</f>
        <v>26029987</v>
      </c>
    </row>
    <row r="719" spans="1:5" x14ac:dyDescent="0.25">
      <c r="A719" t="str">
        <f>"22.03.2011"</f>
        <v>22.03.2011</v>
      </c>
      <c r="B719" t="str">
        <f>"01.04.2011"</f>
        <v>01.04.2011</v>
      </c>
      <c r="C719" t="str">
        <f>"29.03.2011"</f>
        <v>29.03.2011</v>
      </c>
      <c r="D719" t="str">
        <f>"5.376,00"</f>
        <v>5.376,00</v>
      </c>
      <c r="E719" t="str">
        <f>"5.376,00"</f>
        <v>5.376,00</v>
      </c>
    </row>
    <row r="721" spans="1:5" x14ac:dyDescent="0.25">
      <c r="A721" t="str">
        <f>"Poř.č.fak."</f>
        <v>Poř.č.fak.</v>
      </c>
      <c r="B721" t="str">
        <f>"Dodavatel"</f>
        <v>Dodavatel</v>
      </c>
      <c r="C721" t="str">
        <f>"IČO"</f>
        <v>IČO</v>
      </c>
    </row>
    <row r="722" spans="1:5" x14ac:dyDescent="0.25">
      <c r="A722" t="str">
        <f>"Došla"</f>
        <v>Došla</v>
      </c>
      <c r="B722" t="str">
        <f>"Splatná"</f>
        <v>Splatná</v>
      </c>
      <c r="C722" t="str">
        <f>"Zaplacená"</f>
        <v>Zaplacená</v>
      </c>
      <c r="D722" t="str">
        <f>"Fakt.částka"</f>
        <v>Fakt.částka</v>
      </c>
      <c r="E722" t="str">
        <f>"Celk.zaplaceno"</f>
        <v>Celk.zaplaceno</v>
      </c>
    </row>
    <row r="723" spans="1:5" x14ac:dyDescent="0.25">
      <c r="B723" t="str">
        <f>"Poznámka"</f>
        <v>Poznámka</v>
      </c>
    </row>
    <row r="724" spans="1:5" x14ac:dyDescent="0.25">
      <c r="A724" t="str">
        <f>"**********"</f>
        <v>**********</v>
      </c>
      <c r="B724" t="str">
        <f>"**************************"</f>
        <v>**************************</v>
      </c>
      <c r="C724" t="str">
        <f>"***********"</f>
        <v>***********</v>
      </c>
      <c r="D724" t="str">
        <f>"***************"</f>
        <v>***************</v>
      </c>
      <c r="E724" t="str">
        <f>"***************"</f>
        <v>***************</v>
      </c>
    </row>
    <row r="726" spans="1:5" x14ac:dyDescent="0.25">
      <c r="A726" t="str">
        <f>"169"</f>
        <v>169</v>
      </c>
      <c r="B726" t="str">
        <f>"Správa města Soběslavi"</f>
        <v>Správa města Soběslavi</v>
      </c>
      <c r="C726" t="str">
        <f>"26029987"</f>
        <v>26029987</v>
      </c>
    </row>
    <row r="727" spans="1:5" x14ac:dyDescent="0.25">
      <c r="A727" t="str">
        <f>"22.03.2011"</f>
        <v>22.03.2011</v>
      </c>
      <c r="B727" t="str">
        <f>"01.04.2011"</f>
        <v>01.04.2011</v>
      </c>
      <c r="C727" t="str">
        <f>"29.03.2011"</f>
        <v>29.03.2011</v>
      </c>
      <c r="D727" t="str">
        <f>"29.407,00"</f>
        <v>29.407,00</v>
      </c>
      <c r="E727" t="str">
        <f>"29.407,00"</f>
        <v>29.407,00</v>
      </c>
    </row>
    <row r="730" spans="1:5" x14ac:dyDescent="0.25">
      <c r="A730" t="str">
        <f>"170"</f>
        <v>170</v>
      </c>
      <c r="B730" t="str">
        <f>"REMBRANDT s.r.o."</f>
        <v>REMBRANDT s.r.o.</v>
      </c>
      <c r="C730" t="str">
        <f>"25215850"</f>
        <v>25215850</v>
      </c>
    </row>
    <row r="731" spans="1:5" x14ac:dyDescent="0.25">
      <c r="A731" t="str">
        <f>"28.03.2011"</f>
        <v>28.03.2011</v>
      </c>
      <c r="B731" t="str">
        <f>"31.03.2011"</f>
        <v>31.03.2011</v>
      </c>
      <c r="C731" t="str">
        <f>"29.03.2011"</f>
        <v>29.03.2011</v>
      </c>
      <c r="D731" t="str">
        <f>"6.734,00"</f>
        <v>6.734,00</v>
      </c>
      <c r="E731" t="str">
        <f>"6.734,00"</f>
        <v>6.734,00</v>
      </c>
    </row>
    <row r="734" spans="1:5" x14ac:dyDescent="0.25">
      <c r="A734" t="str">
        <f>"171"</f>
        <v>171</v>
      </c>
      <c r="B734" t="str">
        <f>"SEVT  a.s. Praha"</f>
        <v>SEVT  a.s. Praha</v>
      </c>
      <c r="C734" t="str">
        <f>"45274851"</f>
        <v>45274851</v>
      </c>
    </row>
    <row r="735" spans="1:5" x14ac:dyDescent="0.25">
      <c r="A735" t="str">
        <f>"28.03.2011"</f>
        <v>28.03.2011</v>
      </c>
      <c r="B735" t="str">
        <f>"01.04.2011"</f>
        <v>01.04.2011</v>
      </c>
      <c r="C735" t="str">
        <f>"29.03.2011"</f>
        <v>29.03.2011</v>
      </c>
      <c r="D735" t="str">
        <f>"3.040,00"</f>
        <v>3.040,00</v>
      </c>
      <c r="E735" t="str">
        <f>"3.040,00"</f>
        <v>3.040,00</v>
      </c>
    </row>
    <row r="738" spans="1:5" x14ac:dyDescent="0.25">
      <c r="A738" t="str">
        <f>"172"</f>
        <v>172</v>
      </c>
      <c r="B738" t="str">
        <f>"Správa města Soběslavi"</f>
        <v>Správa města Soběslavi</v>
      </c>
      <c r="C738" t="str">
        <f>"26029987"</f>
        <v>26029987</v>
      </c>
    </row>
    <row r="739" spans="1:5" x14ac:dyDescent="0.25">
      <c r="A739" t="str">
        <f>"28.03.2011"</f>
        <v>28.03.2011</v>
      </c>
      <c r="B739" t="str">
        <f>"01.04.2011"</f>
        <v>01.04.2011</v>
      </c>
      <c r="C739" t="str">
        <f>"29.03.2011"</f>
        <v>29.03.2011</v>
      </c>
      <c r="D739" t="str">
        <f>"8.699,00"</f>
        <v>8.699,00</v>
      </c>
      <c r="E739" t="str">
        <f>"8.699,00"</f>
        <v>8.699,00</v>
      </c>
    </row>
    <row r="742" spans="1:5" x14ac:dyDescent="0.25">
      <c r="A742" t="str">
        <f>"173"</f>
        <v>173</v>
      </c>
      <c r="B742" t="str">
        <f>"Spilka a Říha s.r.o. Sobě"</f>
        <v>Spilka a Říha s.r.o. Sobě</v>
      </c>
      <c r="C742" t="str">
        <f>"45021309"</f>
        <v>45021309</v>
      </c>
    </row>
    <row r="743" spans="1:5" x14ac:dyDescent="0.25">
      <c r="A743" t="str">
        <f>"28.03.2011"</f>
        <v>28.03.2011</v>
      </c>
      <c r="B743" t="str">
        <f>"01.04.2011"</f>
        <v>01.04.2011</v>
      </c>
      <c r="C743" t="str">
        <f>"29.03.2011"</f>
        <v>29.03.2011</v>
      </c>
      <c r="D743" t="str">
        <f>"228.082,00"</f>
        <v>228.082,00</v>
      </c>
      <c r="E743" t="str">
        <f>"228.082,00"</f>
        <v>228.082,00</v>
      </c>
    </row>
    <row r="746" spans="1:5" x14ac:dyDescent="0.25">
      <c r="A746" t="str">
        <f>"174"</f>
        <v>174</v>
      </c>
      <c r="B746" t="str">
        <f>"Jihočeský kraj Č.B."</f>
        <v>Jihočeský kraj Č.B.</v>
      </c>
      <c r="C746" t="str">
        <f>"70890650"</f>
        <v>70890650</v>
      </c>
    </row>
    <row r="747" spans="1:5" x14ac:dyDescent="0.25">
      <c r="A747" t="str">
        <f>"28.03.2011"</f>
        <v>28.03.2011</v>
      </c>
      <c r="B747" t="str">
        <f>"02.04.2011"</f>
        <v>02.04.2011</v>
      </c>
      <c r="C747" t="str">
        <f>"29.03.2011"</f>
        <v>29.03.2011</v>
      </c>
      <c r="D747" t="str">
        <f>"400,00"</f>
        <v>400,00</v>
      </c>
      <c r="E747" t="str">
        <f>"400,00"</f>
        <v>400,00</v>
      </c>
    </row>
    <row r="750" spans="1:5" x14ac:dyDescent="0.25">
      <c r="A750" t="str">
        <f>"175"</f>
        <v>175</v>
      </c>
      <c r="B750" t="str">
        <f>"Ing.arch.Jaromír Kročák"</f>
        <v>Ing.arch.Jaromír Kročák</v>
      </c>
      <c r="C750" t="str">
        <f>"10271911"</f>
        <v>10271911</v>
      </c>
    </row>
    <row r="751" spans="1:5" x14ac:dyDescent="0.25">
      <c r="A751" t="str">
        <f>"28.03.2011"</f>
        <v>28.03.2011</v>
      </c>
      <c r="B751" t="str">
        <f>"04.04.2011"</f>
        <v>04.04.2011</v>
      </c>
      <c r="C751" t="str">
        <f>"01.04.2011"</f>
        <v>01.04.2011</v>
      </c>
      <c r="D751" t="str">
        <f>"27.456,00"</f>
        <v>27.456,00</v>
      </c>
      <c r="E751" t="str">
        <f>"27.456,00"</f>
        <v>27.456,00</v>
      </c>
    </row>
    <row r="754" spans="1:5" x14ac:dyDescent="0.25">
      <c r="A754" t="str">
        <f>"176"</f>
        <v>176</v>
      </c>
      <c r="B754" t="str">
        <f>"RUMPOLD s.r.o. Tábor"</f>
        <v>RUMPOLD s.r.o. Tábor</v>
      </c>
      <c r="C754" t="str">
        <f>"61459364"</f>
        <v>61459364</v>
      </c>
    </row>
    <row r="755" spans="1:5" x14ac:dyDescent="0.25">
      <c r="A755" t="str">
        <f>"28.03.2011"</f>
        <v>28.03.2011</v>
      </c>
      <c r="B755" t="str">
        <f>"22.04.2011"</f>
        <v>22.04.2011</v>
      </c>
      <c r="C755" t="str">
        <f>"20.04.2011"</f>
        <v>20.04.2011</v>
      </c>
      <c r="D755" t="str">
        <f>"8.464,00"</f>
        <v>8.464,00</v>
      </c>
      <c r="E755" t="str">
        <f>"8.464,00"</f>
        <v>8.464,00</v>
      </c>
    </row>
    <row r="758" spans="1:5" x14ac:dyDescent="0.25">
      <c r="A758" t="str">
        <f>"177"</f>
        <v>177</v>
      </c>
      <c r="B758" t="str">
        <f>"INO s.r.o. Děčín"</f>
        <v>INO s.r.o. Děčín</v>
      </c>
      <c r="C758" t="str">
        <f>"27263517"</f>
        <v>27263517</v>
      </c>
    </row>
    <row r="759" spans="1:5" x14ac:dyDescent="0.25">
      <c r="A759" t="str">
        <f>"31.03.2011"</f>
        <v>31.03.2011</v>
      </c>
      <c r="B759" t="str">
        <f>"25.01.2011"</f>
        <v>25.01.2011</v>
      </c>
      <c r="C759" t="str">
        <f>"01.04.2011"</f>
        <v>01.04.2011</v>
      </c>
      <c r="D759" t="str">
        <f>"4.209,00"</f>
        <v>4.209,00</v>
      </c>
      <c r="E759" t="str">
        <f>"4.209,00"</f>
        <v>4.209,00</v>
      </c>
    </row>
    <row r="762" spans="1:5" x14ac:dyDescent="0.25">
      <c r="A762" t="str">
        <f>"178"</f>
        <v>178</v>
      </c>
      <c r="B762" t="str">
        <f>"KONICA MINOLTA s.r.o."</f>
        <v>KONICA MINOLTA s.r.o.</v>
      </c>
      <c r="C762" t="str">
        <f>"00176150"</f>
        <v>00176150</v>
      </c>
    </row>
    <row r="763" spans="1:5" x14ac:dyDescent="0.25">
      <c r="A763" t="str">
        <f>"31.03.2011"</f>
        <v>31.03.2011</v>
      </c>
      <c r="B763" t="str">
        <f>"01.04.2011"</f>
        <v>01.04.2011</v>
      </c>
      <c r="C763" t="str">
        <f>"01.04.2011"</f>
        <v>01.04.2011</v>
      </c>
      <c r="D763" t="str">
        <f>"3.978,90"</f>
        <v>3.978,90</v>
      </c>
      <c r="E763" t="str">
        <f>"3.978,90"</f>
        <v>3.978,90</v>
      </c>
    </row>
    <row r="766" spans="1:5" x14ac:dyDescent="0.25">
      <c r="A766" t="str">
        <f>"179"</f>
        <v>179</v>
      </c>
      <c r="B766" t="str">
        <f>"KONICA MINOLTA s.r.o."</f>
        <v>KONICA MINOLTA s.r.o.</v>
      </c>
      <c r="C766" t="str">
        <f>"00176150"</f>
        <v>00176150</v>
      </c>
    </row>
    <row r="767" spans="1:5" x14ac:dyDescent="0.25">
      <c r="A767" t="str">
        <f>"31.03.2011"</f>
        <v>31.03.2011</v>
      </c>
      <c r="B767" t="str">
        <f>"01.04.2011"</f>
        <v>01.04.2011</v>
      </c>
      <c r="C767" t="str">
        <f>"01.04.2011"</f>
        <v>01.04.2011</v>
      </c>
      <c r="D767" t="str">
        <f>"11.189,90"</f>
        <v>11.189,90</v>
      </c>
      <c r="E767" t="str">
        <f>"11.189,90"</f>
        <v>11.189,90</v>
      </c>
    </row>
    <row r="770" spans="1:5" x14ac:dyDescent="0.25">
      <c r="A770" t="str">
        <f>"180"</f>
        <v>180</v>
      </c>
      <c r="B770" t="str">
        <f>"Mareš Zbyněk Tábor"</f>
        <v>Mareš Zbyněk Tábor</v>
      </c>
      <c r="C770" t="str">
        <f>"69541850"</f>
        <v>69541850</v>
      </c>
    </row>
    <row r="771" spans="1:5" x14ac:dyDescent="0.25">
      <c r="A771" t="str">
        <f>"31.03.2011"</f>
        <v>31.03.2011</v>
      </c>
      <c r="B771" t="str">
        <f>"05.04.2011"</f>
        <v>05.04.2011</v>
      </c>
      <c r="C771" t="str">
        <f>"04.04.2011"</f>
        <v>04.04.2011</v>
      </c>
      <c r="D771" t="str">
        <f>"2.816,00"</f>
        <v>2.816,00</v>
      </c>
      <c r="E771" t="str">
        <f>"2.816,00"</f>
        <v>2.816,00</v>
      </c>
    </row>
    <row r="774" spans="1:5" x14ac:dyDescent="0.25">
      <c r="A774" t="str">
        <f>"181"</f>
        <v>181</v>
      </c>
      <c r="B774" t="str">
        <f>"KONICA MINOLTA s.r.o."</f>
        <v>KONICA MINOLTA s.r.o.</v>
      </c>
      <c r="C774" t="str">
        <f>"00176150"</f>
        <v>00176150</v>
      </c>
    </row>
    <row r="775" spans="1:5" x14ac:dyDescent="0.25">
      <c r="A775" t="str">
        <f>"31.03.2011"</f>
        <v>31.03.2011</v>
      </c>
      <c r="B775" t="str">
        <f>"05.04.2011"</f>
        <v>05.04.2011</v>
      </c>
      <c r="C775" t="str">
        <f>"04.04.2011"</f>
        <v>04.04.2011</v>
      </c>
      <c r="D775" t="str">
        <f>"3.794,10"</f>
        <v>3.794,10</v>
      </c>
      <c r="E775" t="str">
        <f>"3.794,10"</f>
        <v>3.794,10</v>
      </c>
    </row>
    <row r="778" spans="1:5" x14ac:dyDescent="0.25">
      <c r="A778" t="str">
        <f>"182"</f>
        <v>182</v>
      </c>
      <c r="B778" t="str">
        <f>"Zdeněk Vedral ELKOM"</f>
        <v>Zdeněk Vedral ELKOM</v>
      </c>
      <c r="C778" t="str">
        <f>"46704230"</f>
        <v>46704230</v>
      </c>
    </row>
    <row r="779" spans="1:5" x14ac:dyDescent="0.25">
      <c r="A779" t="str">
        <f>"31.03.2011"</f>
        <v>31.03.2011</v>
      </c>
      <c r="B779" t="str">
        <f>"05.04.2011"</f>
        <v>05.04.2011</v>
      </c>
      <c r="C779" t="str">
        <f>"04.04.2011"</f>
        <v>04.04.2011</v>
      </c>
      <c r="D779" t="str">
        <f>"6.694,00"</f>
        <v>6.694,00</v>
      </c>
      <c r="E779" t="str">
        <f>"6.694,00"</f>
        <v>6.694,00</v>
      </c>
    </row>
    <row r="781" spans="1:5" x14ac:dyDescent="0.25">
      <c r="A781" t="str">
        <f>"Poř.č.fak."</f>
        <v>Poř.č.fak.</v>
      </c>
      <c r="B781" t="str">
        <f>"Dodavatel"</f>
        <v>Dodavatel</v>
      </c>
      <c r="C781" t="str">
        <f>"IČO"</f>
        <v>IČO</v>
      </c>
    </row>
    <row r="782" spans="1:5" x14ac:dyDescent="0.25">
      <c r="A782" t="str">
        <f>"Došla"</f>
        <v>Došla</v>
      </c>
      <c r="B782" t="str">
        <f>"Splatná"</f>
        <v>Splatná</v>
      </c>
      <c r="C782" t="str">
        <f>"Zaplacená"</f>
        <v>Zaplacená</v>
      </c>
      <c r="D782" t="str">
        <f>"Fakt.částka"</f>
        <v>Fakt.částka</v>
      </c>
      <c r="E782" t="str">
        <f>"Celk.zaplaceno"</f>
        <v>Celk.zaplaceno</v>
      </c>
    </row>
    <row r="783" spans="1:5" x14ac:dyDescent="0.25">
      <c r="B783" t="str">
        <f>"Poznámka"</f>
        <v>Poznámka</v>
      </c>
    </row>
    <row r="784" spans="1:5" x14ac:dyDescent="0.25">
      <c r="A784" t="str">
        <f>"**********"</f>
        <v>**********</v>
      </c>
      <c r="B784" t="str">
        <f>"**************************"</f>
        <v>**************************</v>
      </c>
      <c r="C784" t="str">
        <f>"***********"</f>
        <v>***********</v>
      </c>
      <c r="D784" t="str">
        <f>"***************"</f>
        <v>***************</v>
      </c>
      <c r="E784" t="str">
        <f>"***************"</f>
        <v>***************</v>
      </c>
    </row>
    <row r="786" spans="1:5" x14ac:dyDescent="0.25">
      <c r="A786" t="str">
        <f>"183"</f>
        <v>183</v>
      </c>
      <c r="B786" t="str">
        <f>"Ing.Libor Kníže Malšice"</f>
        <v>Ing.Libor Kníže Malšice</v>
      </c>
      <c r="C786" t="str">
        <f>"74585029"</f>
        <v>74585029</v>
      </c>
    </row>
    <row r="787" spans="1:5" x14ac:dyDescent="0.25">
      <c r="A787" t="str">
        <f>"31.03.2011"</f>
        <v>31.03.2011</v>
      </c>
      <c r="B787" t="str">
        <f>"07.04.2011"</f>
        <v>07.04.2011</v>
      </c>
      <c r="C787" t="str">
        <f>"04.04.2011"</f>
        <v>04.04.2011</v>
      </c>
      <c r="D787" t="str">
        <f>"11.700,00"</f>
        <v>11.700,00</v>
      </c>
      <c r="E787" t="str">
        <f>"11.700,00"</f>
        <v>11.700,00</v>
      </c>
    </row>
    <row r="790" spans="1:5" x14ac:dyDescent="0.25">
      <c r="A790" t="str">
        <f>"184"</f>
        <v>184</v>
      </c>
      <c r="B790" t="str">
        <f>"Topol Pro s.r.o. Brandýs"</f>
        <v>Topol Pro s.r.o. Brandýs</v>
      </c>
      <c r="C790" t="str">
        <f>"62956027"</f>
        <v>62956027</v>
      </c>
    </row>
    <row r="791" spans="1:5" x14ac:dyDescent="0.25">
      <c r="A791" t="str">
        <f>"31.03.2011"</f>
        <v>31.03.2011</v>
      </c>
      <c r="B791" t="str">
        <f>"08.04.2011"</f>
        <v>08.04.2011</v>
      </c>
      <c r="C791" t="str">
        <f>"04.04.2011"</f>
        <v>04.04.2011</v>
      </c>
      <c r="D791" t="str">
        <f>"7.800,00"</f>
        <v>7.800,00</v>
      </c>
      <c r="E791" t="str">
        <f>"7.800,00"</f>
        <v>7.800,00</v>
      </c>
    </row>
    <row r="794" spans="1:5" x14ac:dyDescent="0.25">
      <c r="A794" t="str">
        <f>"185"</f>
        <v>185</v>
      </c>
      <c r="B794" t="str">
        <f>"Sodexo Pass ČR a.s. Praha"</f>
        <v>Sodexo Pass ČR a.s. Praha</v>
      </c>
      <c r="C794" t="str">
        <f>"61860476"</f>
        <v>61860476</v>
      </c>
    </row>
    <row r="795" spans="1:5" x14ac:dyDescent="0.25">
      <c r="A795" t="str">
        <f>"31.03.2011"</f>
        <v>31.03.2011</v>
      </c>
      <c r="B795" t="str">
        <f>"12.04.2011"</f>
        <v>12.04.2011</v>
      </c>
      <c r="C795" t="str">
        <f>"11.04.2011"</f>
        <v>11.04.2011</v>
      </c>
      <c r="D795" t="str">
        <f>"60.204,00"</f>
        <v>60.204,00</v>
      </c>
      <c r="E795" t="str">
        <f>"60.204,00"</f>
        <v>60.204,00</v>
      </c>
    </row>
    <row r="798" spans="1:5" x14ac:dyDescent="0.25">
      <c r="A798" t="str">
        <f>"186"</f>
        <v>186</v>
      </c>
      <c r="B798" t="str">
        <f>"Boháč Hlavatce"</f>
        <v>Boháč Hlavatce</v>
      </c>
      <c r="C798" t="str">
        <f>"47268379"</f>
        <v>47268379</v>
      </c>
    </row>
    <row r="799" spans="1:5" x14ac:dyDescent="0.25">
      <c r="A799" t="str">
        <f>"31.03.2011"</f>
        <v>31.03.2011</v>
      </c>
      <c r="B799" t="str">
        <f>"15.04.2011"</f>
        <v>15.04.2011</v>
      </c>
      <c r="C799" t="str">
        <f>"13.04.2011"</f>
        <v>13.04.2011</v>
      </c>
      <c r="D799" t="str">
        <f>"10.800,00"</f>
        <v>10.800,00</v>
      </c>
      <c r="E799" t="str">
        <f>"10.800,00"</f>
        <v>10.800,00</v>
      </c>
    </row>
    <row r="802" spans="1:5" x14ac:dyDescent="0.25">
      <c r="A802" t="str">
        <f>"187"</f>
        <v>187</v>
      </c>
      <c r="B802" t="str">
        <f>"Ing.Vít Semrád Budislav"</f>
        <v>Ing.Vít Semrád Budislav</v>
      </c>
      <c r="C802" t="str">
        <f>"72173831"</f>
        <v>72173831</v>
      </c>
    </row>
    <row r="803" spans="1:5" x14ac:dyDescent="0.25">
      <c r="A803" t="str">
        <f>"31.03.2011"</f>
        <v>31.03.2011</v>
      </c>
      <c r="B803" t="str">
        <f>"28.04.2011"</f>
        <v>28.04.2011</v>
      </c>
      <c r="C803" t="str">
        <f>"22.04.2011"</f>
        <v>22.04.2011</v>
      </c>
      <c r="D803" t="str">
        <f>"3.360,00"</f>
        <v>3.360,00</v>
      </c>
      <c r="E803" t="str">
        <f>"3.360,00"</f>
        <v>3.360,00</v>
      </c>
    </row>
    <row r="806" spans="1:5" x14ac:dyDescent="0.25">
      <c r="A806" t="str">
        <f>"188"</f>
        <v>188</v>
      </c>
      <c r="B806" t="str">
        <f>"Spilka a Říha s.r.o. Sobě"</f>
        <v>Spilka a Říha s.r.o. Sobě</v>
      </c>
      <c r="C806" t="str">
        <f>"45021309"</f>
        <v>45021309</v>
      </c>
    </row>
    <row r="807" spans="1:5" x14ac:dyDescent="0.25">
      <c r="A807" t="str">
        <f>"31.03.2011"</f>
        <v>31.03.2011</v>
      </c>
      <c r="B807" t="str">
        <f>"22.04.2011"</f>
        <v>22.04.2011</v>
      </c>
      <c r="C807" t="str">
        <f>"14.04.2011"</f>
        <v>14.04.2011</v>
      </c>
      <c r="D807" t="str">
        <f>"4.980.484,00"</f>
        <v>4.980.484,00</v>
      </c>
      <c r="E807" t="str">
        <f>"4.980.484,00"</f>
        <v>4.980.484,00</v>
      </c>
    </row>
    <row r="810" spans="1:5" x14ac:dyDescent="0.25">
      <c r="A810" t="str">
        <f>"189"</f>
        <v>189</v>
      </c>
      <c r="B810" t="str">
        <f>"GK ing. Dvořáček Tábor"</f>
        <v>GK ing. Dvořáček Tábor</v>
      </c>
      <c r="C810" t="str">
        <f>"65945735"</f>
        <v>65945735</v>
      </c>
    </row>
    <row r="811" spans="1:5" x14ac:dyDescent="0.25">
      <c r="A811" t="str">
        <f>"31.03.2011"</f>
        <v>31.03.2011</v>
      </c>
      <c r="B811" t="str">
        <f>"29.03.2011"</f>
        <v>29.03.2011</v>
      </c>
      <c r="C811" t="str">
        <f>"05.04.2011"</f>
        <v>05.04.2011</v>
      </c>
      <c r="D811" t="str">
        <f>"4.800,00"</f>
        <v>4.800,00</v>
      </c>
      <c r="E811" t="str">
        <f>"4.800,00"</f>
        <v>4.800,00</v>
      </c>
    </row>
    <row r="814" spans="1:5" x14ac:dyDescent="0.25">
      <c r="A814" t="str">
        <f>"190"</f>
        <v>190</v>
      </c>
      <c r="B814" t="str">
        <f>"GK ing. Dvořáček Tábor"</f>
        <v>GK ing. Dvořáček Tábor</v>
      </c>
      <c r="C814" t="str">
        <f>"65945735"</f>
        <v>65945735</v>
      </c>
    </row>
    <row r="815" spans="1:5" x14ac:dyDescent="0.25">
      <c r="A815" t="str">
        <f>"31.03.2011"</f>
        <v>31.03.2011</v>
      </c>
      <c r="B815" t="str">
        <f>"29.03.2011"</f>
        <v>29.03.2011</v>
      </c>
      <c r="C815" t="str">
        <f>"05.04.2011"</f>
        <v>05.04.2011</v>
      </c>
      <c r="D815" t="str">
        <f>"3.600,00"</f>
        <v>3.600,00</v>
      </c>
      <c r="E815" t="str">
        <f>"3.600,00"</f>
        <v>3.600,00</v>
      </c>
    </row>
    <row r="818" spans="1:5" x14ac:dyDescent="0.25">
      <c r="A818" t="str">
        <f>"191"</f>
        <v>191</v>
      </c>
      <c r="B818" t="str">
        <f>"ANAG,s.r.o. Olomouc"</f>
        <v>ANAG,s.r.o. Olomouc</v>
      </c>
      <c r="C818" t="str">
        <f>"25354671"</f>
        <v>25354671</v>
      </c>
    </row>
    <row r="819" spans="1:5" x14ac:dyDescent="0.25">
      <c r="A819" t="str">
        <f>"31.03.2011"</f>
        <v>31.03.2011</v>
      </c>
      <c r="B819" t="str">
        <f>"13.04.2011"</f>
        <v>13.04.2011</v>
      </c>
      <c r="C819" t="str">
        <f>"11.04.2011"</f>
        <v>11.04.2011</v>
      </c>
      <c r="D819" t="str">
        <f>"199,00"</f>
        <v>199,00</v>
      </c>
      <c r="E819" t="str">
        <f>"199,00"</f>
        <v>199,00</v>
      </c>
    </row>
    <row r="822" spans="1:5" x14ac:dyDescent="0.25">
      <c r="A822" t="str">
        <f>"192"</f>
        <v>192</v>
      </c>
      <c r="B822" t="str">
        <f>"KONICA MINOLTA s.r.o."</f>
        <v>KONICA MINOLTA s.r.o.</v>
      </c>
      <c r="C822" t="str">
        <f>"00176150"</f>
        <v>00176150</v>
      </c>
    </row>
    <row r="823" spans="1:5" x14ac:dyDescent="0.25">
      <c r="A823" t="str">
        <f>"31.03.2011"</f>
        <v>31.03.2011</v>
      </c>
      <c r="B823" t="str">
        <f>"07.04.2011"</f>
        <v>07.04.2011</v>
      </c>
      <c r="C823" t="str">
        <f>"07.04.2011"</f>
        <v>07.04.2011</v>
      </c>
      <c r="D823" t="str">
        <f>"626,40"</f>
        <v>626,40</v>
      </c>
      <c r="E823" t="str">
        <f>"626,40"</f>
        <v>626,40</v>
      </c>
    </row>
    <row r="826" spans="1:5" x14ac:dyDescent="0.25">
      <c r="A826" t="str">
        <f>"193"</f>
        <v>193</v>
      </c>
      <c r="B826" t="str">
        <f>"H-projekt s.r.o. Praha 4"</f>
        <v>H-projekt s.r.o. Praha 4</v>
      </c>
      <c r="C826" t="str">
        <f>"60468653"</f>
        <v>60468653</v>
      </c>
    </row>
    <row r="827" spans="1:5" x14ac:dyDescent="0.25">
      <c r="A827" t="str">
        <f>"31.03.2011"</f>
        <v>31.03.2011</v>
      </c>
      <c r="B827" t="str">
        <f>"15.04.2011"</f>
        <v>15.04.2011</v>
      </c>
      <c r="C827" t="str">
        <f>"14.04.2011"</f>
        <v>14.04.2011</v>
      </c>
      <c r="D827" t="str">
        <f>"24.960,00"</f>
        <v>24.960,00</v>
      </c>
      <c r="E827" t="str">
        <f>"24.960,00"</f>
        <v>24.960,00</v>
      </c>
    </row>
    <row r="830" spans="1:5" x14ac:dyDescent="0.25">
      <c r="A830" t="str">
        <f>"194"</f>
        <v>194</v>
      </c>
      <c r="B830" t="str">
        <f>"INO s.r.o. Děčín"</f>
        <v>INO s.r.o. Děčín</v>
      </c>
      <c r="C830" t="str">
        <f>"27263517"</f>
        <v>27263517</v>
      </c>
    </row>
    <row r="831" spans="1:5" x14ac:dyDescent="0.25">
      <c r="A831" t="str">
        <f>"31.03.2011"</f>
        <v>31.03.2011</v>
      </c>
      <c r="B831" t="str">
        <f>"21.04.2011"</f>
        <v>21.04.2011</v>
      </c>
      <c r="C831" t="str">
        <f>"20.04.2011"</f>
        <v>20.04.2011</v>
      </c>
      <c r="D831" t="str">
        <f>"5.322,00"</f>
        <v>5.322,00</v>
      </c>
      <c r="E831" t="str">
        <f>"5.322,00"</f>
        <v>5.322,00</v>
      </c>
    </row>
    <row r="834" spans="1:5" x14ac:dyDescent="0.25">
      <c r="A834" t="str">
        <f>"195"</f>
        <v>195</v>
      </c>
      <c r="B834" t="str">
        <f>"RUMPOLD s.r.o. Tábor"</f>
        <v>RUMPOLD s.r.o. Tábor</v>
      </c>
      <c r="C834" t="str">
        <f>"61459364"</f>
        <v>61459364</v>
      </c>
    </row>
    <row r="835" spans="1:5" x14ac:dyDescent="0.25">
      <c r="A835" t="str">
        <f>"31.03.2011"</f>
        <v>31.03.2011</v>
      </c>
      <c r="B835" t="str">
        <f>"29.04.2011"</f>
        <v>29.04.2011</v>
      </c>
      <c r="C835" t="str">
        <f>"27.04.2011"</f>
        <v>27.04.2011</v>
      </c>
      <c r="D835" t="str">
        <f>"10.157,00"</f>
        <v>10.157,00</v>
      </c>
      <c r="E835" t="str">
        <f>"10.157,00"</f>
        <v>10.157,00</v>
      </c>
    </row>
    <row r="838" spans="1:5" x14ac:dyDescent="0.25">
      <c r="A838" t="str">
        <f>"196"</f>
        <v>196</v>
      </c>
      <c r="B838" t="str">
        <f>"Svaz měst a obcí ČR Praha"</f>
        <v>Svaz měst a obcí ČR Praha</v>
      </c>
      <c r="C838" t="str">
        <f>"63113074"</f>
        <v>63113074</v>
      </c>
    </row>
    <row r="839" spans="1:5" x14ac:dyDescent="0.25">
      <c r="A839" t="str">
        <f>"31.03.2011"</f>
        <v>31.03.2011</v>
      </c>
      <c r="B839" t="str">
        <f>"30.04.2011"</f>
        <v>30.04.2011</v>
      </c>
      <c r="C839" t="str">
        <f>"27.04.2011"</f>
        <v>27.04.2011</v>
      </c>
      <c r="D839" t="str">
        <f>"18.113,00"</f>
        <v>18.113,00</v>
      </c>
      <c r="E839" t="str">
        <f>"18.113,00"</f>
        <v>18.113,00</v>
      </c>
    </row>
    <row r="841" spans="1:5" x14ac:dyDescent="0.25">
      <c r="A841" t="str">
        <f>"Poř.č.fak."</f>
        <v>Poř.č.fak.</v>
      </c>
      <c r="B841" t="str">
        <f>"Dodavatel"</f>
        <v>Dodavatel</v>
      </c>
      <c r="C841" t="str">
        <f>"IČO"</f>
        <v>IČO</v>
      </c>
    </row>
    <row r="842" spans="1:5" x14ac:dyDescent="0.25">
      <c r="A842" t="str">
        <f>"Došla"</f>
        <v>Došla</v>
      </c>
      <c r="B842" t="str">
        <f>"Splatná"</f>
        <v>Splatná</v>
      </c>
      <c r="C842" t="str">
        <f>"Zaplacená"</f>
        <v>Zaplacená</v>
      </c>
      <c r="D842" t="str">
        <f>"Fakt.částka"</f>
        <v>Fakt.částka</v>
      </c>
      <c r="E842" t="str">
        <f>"Celk.zaplaceno"</f>
        <v>Celk.zaplaceno</v>
      </c>
    </row>
    <row r="843" spans="1:5" x14ac:dyDescent="0.25">
      <c r="B843" t="str">
        <f>"Poznámka"</f>
        <v>Poznámka</v>
      </c>
    </row>
    <row r="844" spans="1:5" x14ac:dyDescent="0.25">
      <c r="A844" t="str">
        <f>"**********"</f>
        <v>**********</v>
      </c>
      <c r="B844" t="str">
        <f>"**************************"</f>
        <v>**************************</v>
      </c>
      <c r="C844" t="str">
        <f>"***********"</f>
        <v>***********</v>
      </c>
      <c r="D844" t="str">
        <f>"***************"</f>
        <v>***************</v>
      </c>
      <c r="E844" t="str">
        <f>"***************"</f>
        <v>***************</v>
      </c>
    </row>
    <row r="846" spans="1:5" x14ac:dyDescent="0.25">
      <c r="A846" t="str">
        <f>"197"</f>
        <v>197</v>
      </c>
      <c r="B846" t="str">
        <f>"Java Třeboň"</f>
        <v>Java Třeboň</v>
      </c>
      <c r="C846" t="str">
        <f>"15792994"</f>
        <v>15792994</v>
      </c>
    </row>
    <row r="847" spans="1:5" x14ac:dyDescent="0.25">
      <c r="A847" t="str">
        <f>"31.03.2011"</f>
        <v>31.03.2011</v>
      </c>
      <c r="B847" t="str">
        <f>"11.04.2011"</f>
        <v>11.04.2011</v>
      </c>
      <c r="C847" t="str">
        <f>"11.04.2011"</f>
        <v>11.04.2011</v>
      </c>
      <c r="D847" t="str">
        <f>"36.014,00"</f>
        <v>36.014,00</v>
      </c>
      <c r="E847" t="str">
        <f>"36.014,00"</f>
        <v>36.014,00</v>
      </c>
    </row>
    <row r="850" spans="1:5" x14ac:dyDescent="0.25">
      <c r="A850" t="str">
        <f>"198"</f>
        <v>198</v>
      </c>
      <c r="B850" t="str">
        <f>"RUMPOLD s.r.o. Tábor"</f>
        <v>RUMPOLD s.r.o. Tábor</v>
      </c>
      <c r="C850" t="str">
        <f>"61459364"</f>
        <v>61459364</v>
      </c>
    </row>
    <row r="851" spans="1:5" x14ac:dyDescent="0.25">
      <c r="A851" t="str">
        <f>"31.03.2011"</f>
        <v>31.03.2011</v>
      </c>
      <c r="B851" t="str">
        <f>"20.04.2011"</f>
        <v>20.04.2011</v>
      </c>
      <c r="C851" t="str">
        <f>"19.04.2011"</f>
        <v>19.04.2011</v>
      </c>
      <c r="D851" t="str">
        <f>"964.672,00"</f>
        <v>964.672,00</v>
      </c>
      <c r="E851" t="str">
        <f>"964.672,00"</f>
        <v>964.672,00</v>
      </c>
    </row>
    <row r="854" spans="1:5" x14ac:dyDescent="0.25">
      <c r="A854" t="str">
        <f>"199"</f>
        <v>199</v>
      </c>
      <c r="B854" t="str">
        <f>"BENZINA ,s.r.o. Praha 4"</f>
        <v>BENZINA ,s.r.o. Praha 4</v>
      </c>
      <c r="C854" t="str">
        <f>"60193328"</f>
        <v>60193328</v>
      </c>
    </row>
    <row r="855" spans="1:5" x14ac:dyDescent="0.25">
      <c r="A855" t="str">
        <f>"11.04.2011"</f>
        <v>11.04.2011</v>
      </c>
      <c r="B855" t="str">
        <f>"06.04.2011"</f>
        <v>06.04.2011</v>
      </c>
      <c r="C855" t="str">
        <f>"06.04.2011"</f>
        <v>06.04.2011</v>
      </c>
      <c r="D855" t="str">
        <f>"13.889,09"</f>
        <v>13.889,09</v>
      </c>
      <c r="E855" t="str">
        <f>"13.889,09"</f>
        <v>13.889,09</v>
      </c>
    </row>
    <row r="858" spans="1:5" x14ac:dyDescent="0.25">
      <c r="A858" t="str">
        <f>"200"</f>
        <v>200</v>
      </c>
      <c r="B858" t="str">
        <f>"Svaz účetních Č.B."</f>
        <v>Svaz účetních Č.B.</v>
      </c>
      <c r="C858" t="str">
        <f>"60073021"</f>
        <v>60073021</v>
      </c>
    </row>
    <row r="859" spans="1:5" x14ac:dyDescent="0.25">
      <c r="A859" t="str">
        <f>"11.04.2011"</f>
        <v>11.04.2011</v>
      </c>
      <c r="B859" t="str">
        <f>"11.04.2011"</f>
        <v>11.04.2011</v>
      </c>
      <c r="C859" t="str">
        <f>"11.04.2011"</f>
        <v>11.04.2011</v>
      </c>
      <c r="D859" t="str">
        <f>"595,00"</f>
        <v>595,00</v>
      </c>
      <c r="E859" t="str">
        <f>"595,00"</f>
        <v>595,00</v>
      </c>
    </row>
    <row r="862" spans="1:5" x14ac:dyDescent="0.25">
      <c r="A862" t="str">
        <f>"201"</f>
        <v>201</v>
      </c>
      <c r="B862" t="str">
        <f>"Autoservis Jindra s.r.o."</f>
        <v>Autoservis Jindra s.r.o.</v>
      </c>
      <c r="C862" t="str">
        <f>"63277956"</f>
        <v>63277956</v>
      </c>
    </row>
    <row r="863" spans="1:5" x14ac:dyDescent="0.25">
      <c r="A863" t="str">
        <f>"11.04.2011"</f>
        <v>11.04.2011</v>
      </c>
      <c r="B863" t="str">
        <f>"11.04.2011"</f>
        <v>11.04.2011</v>
      </c>
      <c r="C863" t="str">
        <f>"11.04.2011"</f>
        <v>11.04.2011</v>
      </c>
      <c r="D863" t="str">
        <f>"3.629,00"</f>
        <v>3.629,00</v>
      </c>
      <c r="E863" t="str">
        <f>"3.629,00"</f>
        <v>3.629,00</v>
      </c>
    </row>
    <row r="866" spans="1:5" x14ac:dyDescent="0.25">
      <c r="A866" t="str">
        <f>"202"</f>
        <v>202</v>
      </c>
      <c r="B866" t="str">
        <f>"FLEX, s.r.o. Brno"</f>
        <v>FLEX, s.r.o. Brno</v>
      </c>
      <c r="C866" t="str">
        <f>"49453971"</f>
        <v>49453971</v>
      </c>
    </row>
    <row r="867" spans="1:5" x14ac:dyDescent="0.25">
      <c r="A867" t="str">
        <f>"11.04.2011"</f>
        <v>11.04.2011</v>
      </c>
      <c r="B867" t="str">
        <f>"12.04.2011"</f>
        <v>12.04.2011</v>
      </c>
      <c r="C867" t="str">
        <f>"11.04.2011"</f>
        <v>11.04.2011</v>
      </c>
      <c r="D867" t="str">
        <f>"7.764,00"</f>
        <v>7.764,00</v>
      </c>
      <c r="E867" t="str">
        <f>"7.764,00"</f>
        <v>7.764,00</v>
      </c>
    </row>
    <row r="870" spans="1:5" x14ac:dyDescent="0.25">
      <c r="A870" t="str">
        <f>"203"</f>
        <v>203</v>
      </c>
      <c r="B870" t="str">
        <f>"Hajný-T s.r.o."</f>
        <v>Hajný-T s.r.o.</v>
      </c>
      <c r="C870" t="str">
        <f>"63886839"</f>
        <v>63886839</v>
      </c>
    </row>
    <row r="871" spans="1:5" x14ac:dyDescent="0.25">
      <c r="A871" t="str">
        <f>"11.04.2011"</f>
        <v>11.04.2011</v>
      </c>
      <c r="B871" t="str">
        <f>"14.04.2011"</f>
        <v>14.04.2011</v>
      </c>
      <c r="C871" t="str">
        <f>"11.04.2011"</f>
        <v>11.04.2011</v>
      </c>
      <c r="D871" t="str">
        <f>"2.000,00"</f>
        <v>2.000,00</v>
      </c>
      <c r="E871" t="str">
        <f>"2.000,00"</f>
        <v>2.000,00</v>
      </c>
    </row>
    <row r="874" spans="1:5" x14ac:dyDescent="0.25">
      <c r="A874" t="str">
        <f>"204"</f>
        <v>204</v>
      </c>
      <c r="B874" t="str">
        <f>"Hajný-T s.r.o."</f>
        <v>Hajný-T s.r.o.</v>
      </c>
      <c r="C874" t="str">
        <f>"63886839"</f>
        <v>63886839</v>
      </c>
    </row>
    <row r="875" spans="1:5" x14ac:dyDescent="0.25">
      <c r="A875" t="str">
        <f>"11.04.2011"</f>
        <v>11.04.2011</v>
      </c>
      <c r="B875" t="str">
        <f>"14.04.2011"</f>
        <v>14.04.2011</v>
      </c>
      <c r="C875" t="str">
        <f>"11.04.2011"</f>
        <v>11.04.2011</v>
      </c>
      <c r="D875" t="str">
        <f>"2.252,00"</f>
        <v>2.252,00</v>
      </c>
      <c r="E875" t="str">
        <f>"2.252,00"</f>
        <v>2.252,00</v>
      </c>
    </row>
    <row r="878" spans="1:5" x14ac:dyDescent="0.25">
      <c r="A878" t="str">
        <f>"205"</f>
        <v>205</v>
      </c>
      <c r="B878" t="str">
        <f>"MANO CZ s.r.o. Praha 2"</f>
        <v>MANO CZ s.r.o. Praha 2</v>
      </c>
      <c r="C878" t="str">
        <f>"27646483"</f>
        <v>27646483</v>
      </c>
    </row>
    <row r="879" spans="1:5" x14ac:dyDescent="0.25">
      <c r="A879" t="str">
        <f>"11.04.2011"</f>
        <v>11.04.2011</v>
      </c>
      <c r="B879" t="str">
        <f>"14.04.2011"</f>
        <v>14.04.2011</v>
      </c>
      <c r="C879" t="str">
        <f>"11.04.2011"</f>
        <v>11.04.2011</v>
      </c>
      <c r="D879" t="str">
        <f>"2.430,00"</f>
        <v>2.430,00</v>
      </c>
      <c r="E879" t="str">
        <f>"2.430,00"</f>
        <v>2.430,00</v>
      </c>
    </row>
    <row r="882" spans="1:5" x14ac:dyDescent="0.25">
      <c r="A882" t="str">
        <f>"206"</f>
        <v>206</v>
      </c>
      <c r="B882" t="str">
        <f>"DCS Systems,s.r.o. Praha"</f>
        <v>DCS Systems,s.r.o. Praha</v>
      </c>
      <c r="C882" t="str">
        <f>"26178842"</f>
        <v>26178842</v>
      </c>
    </row>
    <row r="883" spans="1:5" x14ac:dyDescent="0.25">
      <c r="A883" t="str">
        <f>"11.04.2011"</f>
        <v>11.04.2011</v>
      </c>
      <c r="B883" t="str">
        <f>"15.04.2011"</f>
        <v>15.04.2011</v>
      </c>
      <c r="C883" t="str">
        <f>"13.04.2011"</f>
        <v>13.04.2011</v>
      </c>
      <c r="D883" t="str">
        <f>"1.740,00"</f>
        <v>1.740,00</v>
      </c>
      <c r="E883" t="str">
        <f>"1.740,00"</f>
        <v>1.740,00</v>
      </c>
    </row>
    <row r="886" spans="1:5" x14ac:dyDescent="0.25">
      <c r="A886" t="str">
        <f>"207"</f>
        <v>207</v>
      </c>
      <c r="B886" t="str">
        <f>"Gordic  s.r.o. Jihlava"</f>
        <v>Gordic  s.r.o. Jihlava</v>
      </c>
      <c r="C886" t="str">
        <f>"47903783"</f>
        <v>47903783</v>
      </c>
    </row>
    <row r="887" spans="1:5" x14ac:dyDescent="0.25">
      <c r="A887" t="str">
        <f>"11.04.2011"</f>
        <v>11.04.2011</v>
      </c>
      <c r="B887" t="str">
        <f>"15.04.2011"</f>
        <v>15.04.2011</v>
      </c>
      <c r="C887" t="str">
        <f>"13.04.2011"</f>
        <v>13.04.2011</v>
      </c>
      <c r="D887" t="str">
        <f>"7.776,00"</f>
        <v>7.776,00</v>
      </c>
      <c r="E887" t="str">
        <f>"7.776,00"</f>
        <v>7.776,00</v>
      </c>
    </row>
    <row r="890" spans="1:5" x14ac:dyDescent="0.25">
      <c r="A890" t="str">
        <f>"208"</f>
        <v>208</v>
      </c>
      <c r="B890" t="str">
        <f>"Dana Adámková Soběslav"</f>
        <v>Dana Adámková Soběslav</v>
      </c>
      <c r="C890" t="str">
        <f>"71772839"</f>
        <v>71772839</v>
      </c>
    </row>
    <row r="891" spans="1:5" x14ac:dyDescent="0.25">
      <c r="A891" t="str">
        <f>"11.04.2011"</f>
        <v>11.04.2011</v>
      </c>
      <c r="B891" t="str">
        <f>"15.04.2011"</f>
        <v>15.04.2011</v>
      </c>
      <c r="C891" t="str">
        <f>"13.04.2011"</f>
        <v>13.04.2011</v>
      </c>
      <c r="D891" t="str">
        <f>"8.400,00"</f>
        <v>8.400,00</v>
      </c>
      <c r="E891" t="str">
        <f>"8.400,00"</f>
        <v>8.400,00</v>
      </c>
    </row>
    <row r="894" spans="1:5" x14ac:dyDescent="0.25">
      <c r="A894" t="str">
        <f>"209"</f>
        <v>209</v>
      </c>
      <c r="B894" t="str">
        <f>"ACTIVA s.r.o. Praha 9"</f>
        <v>ACTIVA s.r.o. Praha 9</v>
      </c>
      <c r="C894" t="str">
        <f>"48111198"</f>
        <v>48111198</v>
      </c>
    </row>
    <row r="895" spans="1:5" x14ac:dyDescent="0.25">
      <c r="A895" t="str">
        <f>"11.04.2011"</f>
        <v>11.04.2011</v>
      </c>
      <c r="B895" t="str">
        <f>"15.04.2011"</f>
        <v>15.04.2011</v>
      </c>
      <c r="C895" t="str">
        <f>"13.04.2011"</f>
        <v>13.04.2011</v>
      </c>
      <c r="D895" t="str">
        <f>"11.427,00"</f>
        <v>11.427,00</v>
      </c>
      <c r="E895" t="str">
        <f>"11.427,00"</f>
        <v>11.427,00</v>
      </c>
    </row>
    <row r="898" spans="1:5" x14ac:dyDescent="0.25">
      <c r="A898" t="str">
        <f>"210"</f>
        <v>210</v>
      </c>
      <c r="B898" t="str">
        <f>"Jiří Polák Tábor"</f>
        <v>Jiří Polák Tábor</v>
      </c>
      <c r="C898" t="str">
        <f>"74560425"</f>
        <v>74560425</v>
      </c>
    </row>
    <row r="899" spans="1:5" x14ac:dyDescent="0.25">
      <c r="A899" t="str">
        <f>"11.04.2011"</f>
        <v>11.04.2011</v>
      </c>
      <c r="B899" t="str">
        <f>"15.04.2011"</f>
        <v>15.04.2011</v>
      </c>
      <c r="C899" t="str">
        <f>"13.04.2011"</f>
        <v>13.04.2011</v>
      </c>
      <c r="D899" t="str">
        <f>"60.452,00"</f>
        <v>60.452,00</v>
      </c>
      <c r="E899" t="str">
        <f>"60.452,00"</f>
        <v>60.452,00</v>
      </c>
    </row>
    <row r="901" spans="1:5" x14ac:dyDescent="0.25">
      <c r="A901" t="str">
        <f>"Poř.č.fak."</f>
        <v>Poř.č.fak.</v>
      </c>
      <c r="B901" t="str">
        <f>"Dodavatel"</f>
        <v>Dodavatel</v>
      </c>
      <c r="C901" t="str">
        <f>"IČO"</f>
        <v>IČO</v>
      </c>
    </row>
    <row r="902" spans="1:5" x14ac:dyDescent="0.25">
      <c r="A902" t="str">
        <f>"Došla"</f>
        <v>Došla</v>
      </c>
      <c r="B902" t="str">
        <f>"Splatná"</f>
        <v>Splatná</v>
      </c>
      <c r="C902" t="str">
        <f>"Zaplacená"</f>
        <v>Zaplacená</v>
      </c>
      <c r="D902" t="str">
        <f>"Fakt.částka"</f>
        <v>Fakt.částka</v>
      </c>
      <c r="E902" t="str">
        <f>"Celk.zaplaceno"</f>
        <v>Celk.zaplaceno</v>
      </c>
    </row>
    <row r="903" spans="1:5" x14ac:dyDescent="0.25">
      <c r="B903" t="str">
        <f>"Poznámka"</f>
        <v>Poznámka</v>
      </c>
    </row>
    <row r="904" spans="1:5" x14ac:dyDescent="0.25">
      <c r="A904" t="str">
        <f>"**********"</f>
        <v>**********</v>
      </c>
      <c r="B904" t="str">
        <f>"**************************"</f>
        <v>**************************</v>
      </c>
      <c r="C904" t="str">
        <f>"***********"</f>
        <v>***********</v>
      </c>
      <c r="D904" t="str">
        <f>"***************"</f>
        <v>***************</v>
      </c>
      <c r="E904" t="str">
        <f>"***************"</f>
        <v>***************</v>
      </c>
    </row>
    <row r="906" spans="1:5" x14ac:dyDescent="0.25">
      <c r="A906" t="str">
        <f>"211"</f>
        <v>211</v>
      </c>
      <c r="B906" t="str">
        <f>"JUDr. Vodičková POLIS"</f>
        <v>JUDr. Vodičková POLIS</v>
      </c>
      <c r="C906" t="str">
        <f>"86593315"</f>
        <v>86593315</v>
      </c>
    </row>
    <row r="907" spans="1:5" x14ac:dyDescent="0.25">
      <c r="A907" t="str">
        <f>"11.04.2011"</f>
        <v>11.04.2011</v>
      </c>
      <c r="B907" t="str">
        <f>"18.04.2011"</f>
        <v>18.04.2011</v>
      </c>
      <c r="C907" t="str">
        <f>"14.04.2011"</f>
        <v>14.04.2011</v>
      </c>
      <c r="D907" t="str">
        <f>"5.380,00"</f>
        <v>5.380,00</v>
      </c>
      <c r="E907" t="str">
        <f>"5.380,00"</f>
        <v>5.380,00</v>
      </c>
    </row>
    <row r="910" spans="1:5" x14ac:dyDescent="0.25">
      <c r="A910" t="str">
        <f>"212"</f>
        <v>212</v>
      </c>
      <c r="B910" t="str">
        <f>"Zdeněk Maxera Soběslav"</f>
        <v>Zdeněk Maxera Soběslav</v>
      </c>
      <c r="C910" t="str">
        <f>"42365015"</f>
        <v>42365015</v>
      </c>
    </row>
    <row r="911" spans="1:5" x14ac:dyDescent="0.25">
      <c r="A911" t="str">
        <f>"11.04.2011"</f>
        <v>11.04.2011</v>
      </c>
      <c r="B911" t="str">
        <f>"18.04.2011"</f>
        <v>18.04.2011</v>
      </c>
      <c r="C911" t="str">
        <f>"14.04.2011"</f>
        <v>14.04.2011</v>
      </c>
      <c r="D911" t="str">
        <f>"15.813,00"</f>
        <v>15.813,00</v>
      </c>
      <c r="E911" t="str">
        <f>"15.813,00"</f>
        <v>15.813,00</v>
      </c>
    </row>
    <row r="914" spans="1:5" x14ac:dyDescent="0.25">
      <c r="A914" t="str">
        <f>"213"</f>
        <v>213</v>
      </c>
      <c r="B914" t="str">
        <f>"Spilka a Říha s.r.o. Sobě"</f>
        <v>Spilka a Říha s.r.o. Sobě</v>
      </c>
      <c r="C914" t="str">
        <f>"45021309"</f>
        <v>45021309</v>
      </c>
    </row>
    <row r="915" spans="1:5" x14ac:dyDescent="0.25">
      <c r="A915" t="str">
        <f>"11.04.2011"</f>
        <v>11.04.2011</v>
      </c>
      <c r="B915" t="str">
        <f>"18.04.2011"</f>
        <v>18.04.2011</v>
      </c>
      <c r="C915" t="str">
        <f>"14.04.2011"</f>
        <v>14.04.2011</v>
      </c>
      <c r="D915" t="str">
        <f>"99.540,00"</f>
        <v>99.540,00</v>
      </c>
      <c r="E915" t="str">
        <f>"99.540,00"</f>
        <v>99.540,00</v>
      </c>
    </row>
    <row r="918" spans="1:5" x14ac:dyDescent="0.25">
      <c r="A918" t="str">
        <f>"214"</f>
        <v>214</v>
      </c>
      <c r="B918" t="str">
        <f>"TEZZO Tábor, s.r.o."</f>
        <v>TEZZO Tábor, s.r.o.</v>
      </c>
      <c r="C918" t="str">
        <f>"26057450"</f>
        <v>26057450</v>
      </c>
    </row>
    <row r="919" spans="1:5" x14ac:dyDescent="0.25">
      <c r="A919" t="str">
        <f>"11.04.2011"</f>
        <v>11.04.2011</v>
      </c>
      <c r="B919" t="str">
        <f>"18.04.2011"</f>
        <v>18.04.2011</v>
      </c>
      <c r="C919" t="str">
        <f>"14.04.2011"</f>
        <v>14.04.2011</v>
      </c>
      <c r="D919" t="str">
        <f>"146.880,00"</f>
        <v>146.880,00</v>
      </c>
      <c r="E919" t="str">
        <f>"146.880,00"</f>
        <v>146.880,00</v>
      </c>
    </row>
    <row r="922" spans="1:5" x14ac:dyDescent="0.25">
      <c r="A922" t="str">
        <f>"215"</f>
        <v>215</v>
      </c>
      <c r="B922" t="str">
        <f>"SOU technické Soběslav"</f>
        <v>SOU technické Soběslav</v>
      </c>
      <c r="C922" t="str">
        <f>"14504057"</f>
        <v>14504057</v>
      </c>
    </row>
    <row r="923" spans="1:5" x14ac:dyDescent="0.25">
      <c r="A923" t="str">
        <f>"11.04.2011"</f>
        <v>11.04.2011</v>
      </c>
      <c r="B923" t="str">
        <f>"19.04.2011"</f>
        <v>19.04.2011</v>
      </c>
      <c r="C923" t="str">
        <f>"15.04.2011"</f>
        <v>15.04.2011</v>
      </c>
      <c r="D923" t="str">
        <f>"4.488,00"</f>
        <v>4.488,00</v>
      </c>
      <c r="E923" t="str">
        <f>"4.488,00"</f>
        <v>4.488,00</v>
      </c>
    </row>
    <row r="926" spans="1:5" x14ac:dyDescent="0.25">
      <c r="A926" t="str">
        <f>"216"</f>
        <v>216</v>
      </c>
      <c r="B926" t="str">
        <f>"ČÚ zeměměřický a katastr."</f>
        <v>ČÚ zeměměřický a katastr.</v>
      </c>
      <c r="C926" t="str">
        <f>"00025712"</f>
        <v>00025712</v>
      </c>
    </row>
    <row r="927" spans="1:5" x14ac:dyDescent="0.25">
      <c r="A927" t="str">
        <f>"11.04.2011"</f>
        <v>11.04.2011</v>
      </c>
      <c r="B927" t="str">
        <f>"19.04.2011"</f>
        <v>19.04.2011</v>
      </c>
      <c r="C927" t="str">
        <f>"15.04.2011"</f>
        <v>15.04.2011</v>
      </c>
      <c r="D927" t="str">
        <f>"3.350,00"</f>
        <v>3.350,00</v>
      </c>
      <c r="E927" t="str">
        <f>"3.350,00"</f>
        <v>3.350,00</v>
      </c>
    </row>
    <row r="930" spans="1:5" x14ac:dyDescent="0.25">
      <c r="A930" t="str">
        <f>"217"</f>
        <v>217</v>
      </c>
      <c r="B930" t="str">
        <f>"ing. Pantoflíček Soběslav"</f>
        <v>ing. Pantoflíček Soběslav</v>
      </c>
      <c r="C930" t="str">
        <f>"18302220"</f>
        <v>18302220</v>
      </c>
    </row>
    <row r="931" spans="1:5" x14ac:dyDescent="0.25">
      <c r="A931" t="str">
        <f>"11.04.2011"</f>
        <v>11.04.2011</v>
      </c>
      <c r="B931" t="str">
        <f>"19.04.2011"</f>
        <v>19.04.2011</v>
      </c>
      <c r="C931" t="str">
        <f>"15.04.2011"</f>
        <v>15.04.2011</v>
      </c>
      <c r="D931" t="str">
        <f>"11.280,00"</f>
        <v>11.280,00</v>
      </c>
      <c r="E931" t="str">
        <f>"11.280,00"</f>
        <v>11.280,00</v>
      </c>
    </row>
    <row r="934" spans="1:5" x14ac:dyDescent="0.25">
      <c r="A934" t="str">
        <f>"218"</f>
        <v>218</v>
      </c>
      <c r="B934" t="str">
        <f>"Reklamní ateliér s.r.o."</f>
        <v>Reklamní ateliér s.r.o.</v>
      </c>
      <c r="C934" t="str">
        <f>"46683160"</f>
        <v>46683160</v>
      </c>
    </row>
    <row r="935" spans="1:5" x14ac:dyDescent="0.25">
      <c r="A935" t="str">
        <f>"11.04.2011"</f>
        <v>11.04.2011</v>
      </c>
      <c r="B935" t="str">
        <f>"21.04.2011"</f>
        <v>21.04.2011</v>
      </c>
      <c r="C935" t="str">
        <f>"20.04.2011"</f>
        <v>20.04.2011</v>
      </c>
      <c r="D935" t="str">
        <f>"5.082,00"</f>
        <v>5.082,00</v>
      </c>
      <c r="E935" t="str">
        <f>"5.082,00"</f>
        <v>5.082,00</v>
      </c>
    </row>
    <row r="938" spans="1:5" x14ac:dyDescent="0.25">
      <c r="A938" t="str">
        <f>"219"</f>
        <v>219</v>
      </c>
      <c r="B938" t="str">
        <f>"RUMPOLD s.r.o. Tábor"</f>
        <v>RUMPOLD s.r.o. Tábor</v>
      </c>
      <c r="C938" t="str">
        <f>"61459364"</f>
        <v>61459364</v>
      </c>
    </row>
    <row r="939" spans="1:5" x14ac:dyDescent="0.25">
      <c r="A939" t="str">
        <f>"11.04.2011"</f>
        <v>11.04.2011</v>
      </c>
      <c r="B939" t="str">
        <f>"21.04.2011"</f>
        <v>21.04.2011</v>
      </c>
      <c r="C939" t="str">
        <f>"20.04.2011"</f>
        <v>20.04.2011</v>
      </c>
      <c r="D939" t="str">
        <f>"111.406,63"</f>
        <v>111.406,63</v>
      </c>
      <c r="E939" t="str">
        <f>"111.406,63"</f>
        <v>111.406,63</v>
      </c>
    </row>
    <row r="942" spans="1:5" x14ac:dyDescent="0.25">
      <c r="A942" t="str">
        <f>"220"</f>
        <v>220</v>
      </c>
      <c r="B942" t="str">
        <f>"INO s.r.o. Děčín"</f>
        <v>INO s.r.o. Děčín</v>
      </c>
      <c r="C942" t="str">
        <f>"27263517"</f>
        <v>27263517</v>
      </c>
    </row>
    <row r="943" spans="1:5" x14ac:dyDescent="0.25">
      <c r="A943" t="str">
        <f>"11.04.2011"</f>
        <v>11.04.2011</v>
      </c>
      <c r="B943" t="str">
        <f>"26.04.2011"</f>
        <v>26.04.2011</v>
      </c>
      <c r="C943" t="str">
        <f>"21.04.2011"</f>
        <v>21.04.2011</v>
      </c>
      <c r="D943" t="str">
        <f>"1.683,00"</f>
        <v>1.683,00</v>
      </c>
      <c r="E943" t="str">
        <f>"1.683,00"</f>
        <v>1.683,00</v>
      </c>
    </row>
    <row r="946" spans="1:5" x14ac:dyDescent="0.25">
      <c r="A946" t="str">
        <f>"221"</f>
        <v>221</v>
      </c>
      <c r="B946" t="str">
        <f>"QASAR s.r.o. Mažice"</f>
        <v>QASAR s.r.o. Mažice</v>
      </c>
      <c r="C946" t="str">
        <f>"25192469"</f>
        <v>25192469</v>
      </c>
    </row>
    <row r="947" spans="1:5" x14ac:dyDescent="0.25">
      <c r="A947" t="str">
        <f>"11.04.2011"</f>
        <v>11.04.2011</v>
      </c>
      <c r="B947" t="str">
        <f>"30.04.2011"</f>
        <v>30.04.2011</v>
      </c>
      <c r="C947" t="str">
        <f>"27.04.2011"</f>
        <v>27.04.2011</v>
      </c>
      <c r="D947" t="str">
        <f>"4.800,00"</f>
        <v>4.800,00</v>
      </c>
      <c r="E947" t="str">
        <f>"4.800,00"</f>
        <v>4.800,00</v>
      </c>
    </row>
    <row r="950" spans="1:5" x14ac:dyDescent="0.25">
      <c r="A950" t="str">
        <f>"222"</f>
        <v>222</v>
      </c>
      <c r="B950" t="str">
        <f>"EUROSAD, s.r.o. Val č.3"</f>
        <v>EUROSAD, s.r.o. Val č.3</v>
      </c>
      <c r="C950" t="str">
        <f>"62503910"</f>
        <v>62503910</v>
      </c>
    </row>
    <row r="951" spans="1:5" x14ac:dyDescent="0.25">
      <c r="A951" t="str">
        <f>"08.04.2011"</f>
        <v>08.04.2011</v>
      </c>
      <c r="B951" t="str">
        <f>"15.04.2011"</f>
        <v>15.04.2011</v>
      </c>
      <c r="C951" t="str">
        <f>"18.04.2011"</f>
        <v>18.04.2011</v>
      </c>
      <c r="D951" t="str">
        <f>"3.368,00"</f>
        <v>3.368,00</v>
      </c>
      <c r="E951" t="str">
        <f>"3.368,00"</f>
        <v>3.368,00</v>
      </c>
    </row>
    <row r="954" spans="1:5" x14ac:dyDescent="0.25">
      <c r="A954" t="str">
        <f>"223"</f>
        <v>223</v>
      </c>
      <c r="B954" t="str">
        <f>"Kanadské sruby Tábor"</f>
        <v>Kanadské sruby Tábor</v>
      </c>
      <c r="C954" t="str">
        <f>"28108078"</f>
        <v>28108078</v>
      </c>
    </row>
    <row r="955" spans="1:5" x14ac:dyDescent="0.25">
      <c r="A955" t="str">
        <f>"08.04.2011"</f>
        <v>08.04.2011</v>
      </c>
      <c r="B955" t="str">
        <f>"15.04.2011"</f>
        <v>15.04.2011</v>
      </c>
      <c r="C955" t="str">
        <f>"15.04.2011"</f>
        <v>15.04.2011</v>
      </c>
      <c r="D955" t="str">
        <f>"492.667,00"</f>
        <v>492.667,00</v>
      </c>
      <c r="E955" t="str">
        <f>"492.667,00"</f>
        <v>492.667,00</v>
      </c>
    </row>
    <row r="958" spans="1:5" x14ac:dyDescent="0.25">
      <c r="A958" t="str">
        <f>"224"</f>
        <v>224</v>
      </c>
      <c r="B958" t="str">
        <f>"Telefónica 02 CR a.s."</f>
        <v>Telefónica 02 CR a.s.</v>
      </c>
      <c r="C958" t="str">
        <f>"60193336"</f>
        <v>60193336</v>
      </c>
    </row>
    <row r="959" spans="1:5" x14ac:dyDescent="0.25">
      <c r="A959" t="str">
        <f>"11.04.2011"</f>
        <v>11.04.2011</v>
      </c>
      <c r="B959" t="str">
        <f>"18.04.2011"</f>
        <v>18.04.2011</v>
      </c>
      <c r="C959" t="str">
        <f>"18.04.2011"</f>
        <v>18.04.2011</v>
      </c>
      <c r="D959" t="str">
        <f>"5.424,29"</f>
        <v>5.424,29</v>
      </c>
      <c r="E959" t="str">
        <f>"5.424,29"</f>
        <v>5.424,29</v>
      </c>
    </row>
    <row r="961" spans="1:5" x14ac:dyDescent="0.25">
      <c r="A961" t="str">
        <f>"Poř.č.fak."</f>
        <v>Poř.č.fak.</v>
      </c>
      <c r="B961" t="str">
        <f>"Dodavatel"</f>
        <v>Dodavatel</v>
      </c>
      <c r="C961" t="str">
        <f>"IČO"</f>
        <v>IČO</v>
      </c>
    </row>
    <row r="962" spans="1:5" x14ac:dyDescent="0.25">
      <c r="A962" t="str">
        <f>"Došla"</f>
        <v>Došla</v>
      </c>
      <c r="B962" t="str">
        <f>"Splatná"</f>
        <v>Splatná</v>
      </c>
      <c r="C962" t="str">
        <f>"Zaplacená"</f>
        <v>Zaplacená</v>
      </c>
      <c r="D962" t="str">
        <f>"Fakt.částka"</f>
        <v>Fakt.částka</v>
      </c>
      <c r="E962" t="str">
        <f>"Celk.zaplaceno"</f>
        <v>Celk.zaplaceno</v>
      </c>
    </row>
    <row r="963" spans="1:5" x14ac:dyDescent="0.25">
      <c r="B963" t="str">
        <f>"Poznámka"</f>
        <v>Poznámka</v>
      </c>
    </row>
    <row r="964" spans="1:5" x14ac:dyDescent="0.25">
      <c r="A964" t="str">
        <f>"**********"</f>
        <v>**********</v>
      </c>
      <c r="B964" t="str">
        <f>"**************************"</f>
        <v>**************************</v>
      </c>
      <c r="C964" t="str">
        <f>"***********"</f>
        <v>***********</v>
      </c>
      <c r="D964" t="str">
        <f>"***************"</f>
        <v>***************</v>
      </c>
      <c r="E964" t="str">
        <f>"***************"</f>
        <v>***************</v>
      </c>
    </row>
    <row r="966" spans="1:5" x14ac:dyDescent="0.25">
      <c r="A966" t="str">
        <f>"225"</f>
        <v>225</v>
      </c>
      <c r="B966" t="str">
        <f>"Honsa Milan Sez. Ústí"</f>
        <v>Honsa Milan Sez. Ústí</v>
      </c>
      <c r="C966" t="str">
        <f>"45056234"</f>
        <v>45056234</v>
      </c>
    </row>
    <row r="967" spans="1:5" x14ac:dyDescent="0.25">
      <c r="A967" t="str">
        <f>"11.04.2011"</f>
        <v>11.04.2011</v>
      </c>
      <c r="B967" t="str">
        <f>"20.04.2011"</f>
        <v>20.04.2011</v>
      </c>
      <c r="C967" t="str">
        <f>"19.04.2011"</f>
        <v>19.04.2011</v>
      </c>
      <c r="D967" t="str">
        <f>"14.000,00"</f>
        <v>14.000,00</v>
      </c>
      <c r="E967" t="str">
        <f>"14.000,00"</f>
        <v>14.000,00</v>
      </c>
    </row>
    <row r="970" spans="1:5" x14ac:dyDescent="0.25">
      <c r="A970" t="str">
        <f>"226"</f>
        <v>226</v>
      </c>
      <c r="B970" t="str">
        <f>"ČEVAK a.s. Č.Budějovice"</f>
        <v>ČEVAK a.s. Č.Budějovice</v>
      </c>
      <c r="C970" t="str">
        <f>"60849657"</f>
        <v>60849657</v>
      </c>
    </row>
    <row r="971" spans="1:5" x14ac:dyDescent="0.25">
      <c r="A971" t="str">
        <f>"11.04.2011"</f>
        <v>11.04.2011</v>
      </c>
      <c r="B971" t="str">
        <f>"22.04.2011"</f>
        <v>22.04.2011</v>
      </c>
      <c r="C971" t="str">
        <f>"20.04.2011"</f>
        <v>20.04.2011</v>
      </c>
      <c r="D971" t="str">
        <f>"5.229,00"</f>
        <v>5.229,00</v>
      </c>
      <c r="E971" t="str">
        <f>"5.229,00"</f>
        <v>5.229,00</v>
      </c>
    </row>
    <row r="974" spans="1:5" x14ac:dyDescent="0.25">
      <c r="A974" t="str">
        <f>"227"</f>
        <v>227</v>
      </c>
      <c r="B974" t="str">
        <f>"RUMPOLD s.r.o. Tábor"</f>
        <v>RUMPOLD s.r.o. Tábor</v>
      </c>
      <c r="C974" t="str">
        <f>"61459364"</f>
        <v>61459364</v>
      </c>
    </row>
    <row r="975" spans="1:5" x14ac:dyDescent="0.25">
      <c r="A975" t="str">
        <f>"11.04.2011"</f>
        <v>11.04.2011</v>
      </c>
      <c r="B975" t="str">
        <f>"30.04.2011"</f>
        <v>30.04.2011</v>
      </c>
      <c r="C975" t="str">
        <f>"27.04.2011"</f>
        <v>27.04.2011</v>
      </c>
      <c r="D975" t="str">
        <f>"10.457,00"</f>
        <v>10.457,00</v>
      </c>
      <c r="E975" t="str">
        <f>"10.457,00"</f>
        <v>10.457,00</v>
      </c>
    </row>
    <row r="978" spans="1:5" x14ac:dyDescent="0.25">
      <c r="A978" t="str">
        <f>"228"</f>
        <v>228</v>
      </c>
      <c r="B978" t="str">
        <f>"Telefónica 02 CR a.s."</f>
        <v>Telefónica 02 CR a.s.</v>
      </c>
      <c r="C978" t="str">
        <f>"60193336"</f>
        <v>60193336</v>
      </c>
    </row>
    <row r="979" spans="1:5" x14ac:dyDescent="0.25">
      <c r="A979" t="str">
        <f>"11.04.2011"</f>
        <v>11.04.2011</v>
      </c>
      <c r="B979" t="str">
        <f>"18.04.2011"</f>
        <v>18.04.2011</v>
      </c>
      <c r="C979" t="str">
        <f>"18.04.2011"</f>
        <v>18.04.2011</v>
      </c>
      <c r="D979" t="str">
        <f>"510,65"</f>
        <v>510,65</v>
      </c>
      <c r="E979" t="str">
        <f>"510,65"</f>
        <v>510,65</v>
      </c>
    </row>
    <row r="982" spans="1:5" x14ac:dyDescent="0.25">
      <c r="A982" t="str">
        <f>"229"</f>
        <v>229</v>
      </c>
      <c r="B982" t="str">
        <f>"KONICA MINOLTA s.r.o."</f>
        <v>KONICA MINOLTA s.r.o.</v>
      </c>
      <c r="C982" t="str">
        <f>"00176150"</f>
        <v>00176150</v>
      </c>
    </row>
    <row r="983" spans="1:5" x14ac:dyDescent="0.25">
      <c r="A983" t="str">
        <f>"12.04.2011"</f>
        <v>12.04.2011</v>
      </c>
      <c r="B983" t="str">
        <f>"18.04.2011"</f>
        <v>18.04.2011</v>
      </c>
      <c r="C983" t="str">
        <f>"18.04.2011"</f>
        <v>18.04.2011</v>
      </c>
      <c r="D983" t="str">
        <f>"361,10"</f>
        <v>361,10</v>
      </c>
      <c r="E983" t="str">
        <f>"361,10"</f>
        <v>361,10</v>
      </c>
    </row>
    <row r="986" spans="1:5" x14ac:dyDescent="0.25">
      <c r="A986" t="str">
        <f>"230"</f>
        <v>230</v>
      </c>
      <c r="B986" t="str">
        <f>"KONICA MINOLTA s.r.o."</f>
        <v>KONICA MINOLTA s.r.o.</v>
      </c>
      <c r="C986" t="str">
        <f>"00176150"</f>
        <v>00176150</v>
      </c>
    </row>
    <row r="987" spans="1:5" x14ac:dyDescent="0.25">
      <c r="A987" t="str">
        <f>"12.04.2011"</f>
        <v>12.04.2011</v>
      </c>
      <c r="B987" t="str">
        <f>"18.04.2011"</f>
        <v>18.04.2011</v>
      </c>
      <c r="C987" t="str">
        <f>"18.04.2011"</f>
        <v>18.04.2011</v>
      </c>
      <c r="D987" t="str">
        <f>"1.716,00"</f>
        <v>1.716,00</v>
      </c>
      <c r="E987" t="str">
        <f>"1.716,00"</f>
        <v>1.716,00</v>
      </c>
    </row>
    <row r="990" spans="1:5" x14ac:dyDescent="0.25">
      <c r="A990" t="str">
        <f>"231"</f>
        <v>231</v>
      </c>
      <c r="B990" t="str">
        <f>"KONICA MINOLTA s.r.o."</f>
        <v>KONICA MINOLTA s.r.o.</v>
      </c>
      <c r="C990" t="str">
        <f>"00176150"</f>
        <v>00176150</v>
      </c>
    </row>
    <row r="991" spans="1:5" x14ac:dyDescent="0.25">
      <c r="A991" t="str">
        <f>"12.04.2011"</f>
        <v>12.04.2011</v>
      </c>
      <c r="B991" t="str">
        <f>"18.04.2011"</f>
        <v>18.04.2011</v>
      </c>
      <c r="C991" t="str">
        <f>"18.04.2011"</f>
        <v>18.04.2011</v>
      </c>
      <c r="D991" t="str">
        <f>"3.552,00"</f>
        <v>3.552,00</v>
      </c>
      <c r="E991" t="str">
        <f>"3.552,00"</f>
        <v>3.552,00</v>
      </c>
    </row>
    <row r="994" spans="1:5" x14ac:dyDescent="0.25">
      <c r="A994" t="str">
        <f>"232"</f>
        <v>232</v>
      </c>
      <c r="B994" t="str">
        <f>"Správa města Soběslavi"</f>
        <v>Správa města Soběslavi</v>
      </c>
      <c r="C994" t="str">
        <f>"26029987"</f>
        <v>26029987</v>
      </c>
    </row>
    <row r="995" spans="1:5" x14ac:dyDescent="0.25">
      <c r="A995" t="str">
        <f>"13.04.2011"</f>
        <v>13.04.2011</v>
      </c>
      <c r="B995" t="str">
        <f>"27.04.2011"</f>
        <v>27.04.2011</v>
      </c>
      <c r="C995" t="str">
        <f>"22.04.2011"</f>
        <v>22.04.2011</v>
      </c>
      <c r="D995" t="str">
        <f>"1.332,00"</f>
        <v>1.332,00</v>
      </c>
      <c r="E995" t="str">
        <f>"1.332,00"</f>
        <v>1.332,00</v>
      </c>
    </row>
    <row r="998" spans="1:5" x14ac:dyDescent="0.25">
      <c r="A998" t="str">
        <f>"233"</f>
        <v>233</v>
      </c>
      <c r="B998" t="str">
        <f>"Česká pošta, s.p. Praha"</f>
        <v>Česká pošta, s.p. Praha</v>
      </c>
      <c r="C998" t="str">
        <f>"47114983"</f>
        <v>47114983</v>
      </c>
    </row>
    <row r="999" spans="1:5" x14ac:dyDescent="0.25">
      <c r="A999" t="str">
        <f>"13.04.2011"</f>
        <v>13.04.2011</v>
      </c>
      <c r="B999" t="str">
        <f>"26.04.2011"</f>
        <v>26.04.2011</v>
      </c>
      <c r="C999" t="str">
        <f>"21.04.2011"</f>
        <v>21.04.2011</v>
      </c>
      <c r="D999" t="str">
        <f>"1.116,00"</f>
        <v>1.116,00</v>
      </c>
      <c r="E999" t="str">
        <f>"1.116,00"</f>
        <v>1.116,00</v>
      </c>
    </row>
    <row r="1002" spans="1:5" x14ac:dyDescent="0.25">
      <c r="A1002" t="str">
        <f>"234"</f>
        <v>234</v>
      </c>
      <c r="B1002" t="str">
        <f>"GIGACOMPUTER Č.B."</f>
        <v>GIGACOMPUTER Č.B.</v>
      </c>
      <c r="C1002" t="str">
        <f>"28080289"</f>
        <v>28080289</v>
      </c>
    </row>
    <row r="1003" spans="1:5" x14ac:dyDescent="0.25">
      <c r="A1003" t="str">
        <f>"13.04.2011"</f>
        <v>13.04.2011</v>
      </c>
      <c r="B1003" t="str">
        <f>"25.04.2011"</f>
        <v>25.04.2011</v>
      </c>
      <c r="C1003" t="str">
        <f>"21.04.2011"</f>
        <v>21.04.2011</v>
      </c>
      <c r="D1003" t="str">
        <f>"6.000,00"</f>
        <v>6.000,00</v>
      </c>
      <c r="E1003" t="str">
        <f>"6.000,00"</f>
        <v>6.000,00</v>
      </c>
    </row>
    <row r="1006" spans="1:5" x14ac:dyDescent="0.25">
      <c r="A1006" t="str">
        <f>"235"</f>
        <v>235</v>
      </c>
      <c r="B1006" t="str">
        <f>"Telefónica 02 CR, a.s."</f>
        <v>Telefónica 02 CR, a.s.</v>
      </c>
      <c r="C1006" t="str">
        <f>"60193336"</f>
        <v>60193336</v>
      </c>
    </row>
    <row r="1007" spans="1:5" x14ac:dyDescent="0.25">
      <c r="A1007" t="str">
        <f>"13.04.2011"</f>
        <v>13.04.2011</v>
      </c>
      <c r="B1007" t="str">
        <f>"18.04.2011"</f>
        <v>18.04.2011</v>
      </c>
      <c r="C1007" t="str">
        <f>"18.04.2011"</f>
        <v>18.04.2011</v>
      </c>
      <c r="D1007" t="str">
        <f>"14,72"</f>
        <v>14,72</v>
      </c>
      <c r="E1007" t="str">
        <f>"14,72"</f>
        <v>14,72</v>
      </c>
    </row>
    <row r="1010" spans="1:5" x14ac:dyDescent="0.25">
      <c r="A1010" t="str">
        <f>"236"</f>
        <v>236</v>
      </c>
      <c r="B1010" t="str">
        <f>"Chochola Ladislav Soběsla"</f>
        <v>Chochola Ladislav Soběsla</v>
      </c>
      <c r="C1010" t="str">
        <f>"45015163"</f>
        <v>45015163</v>
      </c>
    </row>
    <row r="1011" spans="1:5" x14ac:dyDescent="0.25">
      <c r="A1011" t="str">
        <f>"15.04.2011"</f>
        <v>15.04.2011</v>
      </c>
      <c r="B1011" t="str">
        <f>"27.04.2011"</f>
        <v>27.04.2011</v>
      </c>
      <c r="C1011" t="str">
        <f>"22.04.2011"</f>
        <v>22.04.2011</v>
      </c>
      <c r="D1011" t="str">
        <f>"3.312,00"</f>
        <v>3.312,00</v>
      </c>
      <c r="E1011" t="str">
        <f>"3.312,00"</f>
        <v>3.312,00</v>
      </c>
    </row>
    <row r="1014" spans="1:5" x14ac:dyDescent="0.25">
      <c r="A1014" t="str">
        <f>"237"</f>
        <v>237</v>
      </c>
      <c r="B1014" t="str">
        <f>"Lesy ČR s.p. LS Tábor"</f>
        <v>Lesy ČR s.p. LS Tábor</v>
      </c>
      <c r="C1014" t="str">
        <f>"42196451"</f>
        <v>42196451</v>
      </c>
    </row>
    <row r="1015" spans="1:5" x14ac:dyDescent="0.25">
      <c r="A1015" t="str">
        <f>"15.04.2011"</f>
        <v>15.04.2011</v>
      </c>
      <c r="B1015" t="str">
        <f>"29.06.2011"</f>
        <v>29.06.2011</v>
      </c>
      <c r="C1015" t="str">
        <f>"22.06.2011"</f>
        <v>22.06.2011</v>
      </c>
      <c r="D1015" t="str">
        <f>"87.984,00"</f>
        <v>87.984,00</v>
      </c>
      <c r="E1015" t="str">
        <f>"87.984,00"</f>
        <v>87.984,00</v>
      </c>
    </row>
    <row r="1018" spans="1:5" x14ac:dyDescent="0.25">
      <c r="A1018" t="str">
        <f>"238"</f>
        <v>238</v>
      </c>
      <c r="B1018" t="str">
        <f>"Telefónica 02 CR, a.s."</f>
        <v>Telefónica 02 CR, a.s.</v>
      </c>
      <c r="C1018" t="str">
        <f>"60193336"</f>
        <v>60193336</v>
      </c>
    </row>
    <row r="1019" spans="1:5" x14ac:dyDescent="0.25">
      <c r="A1019" t="str">
        <f>"18.04.2011"</f>
        <v>18.04.2011</v>
      </c>
      <c r="B1019" t="str">
        <f>"15.04.2011"</f>
        <v>15.04.2011</v>
      </c>
      <c r="C1019" t="str">
        <f>"20.04.2011"</f>
        <v>20.04.2011</v>
      </c>
      <c r="D1019" t="str">
        <f>"28.411,78"</f>
        <v>28.411,78</v>
      </c>
      <c r="E1019" t="str">
        <f>"28.411,78"</f>
        <v>28.411,78</v>
      </c>
    </row>
    <row r="1021" spans="1:5" x14ac:dyDescent="0.25">
      <c r="A1021" t="str">
        <f>"Poř.č.fak."</f>
        <v>Poř.č.fak.</v>
      </c>
      <c r="B1021" t="str">
        <f>"Dodavatel"</f>
        <v>Dodavatel</v>
      </c>
      <c r="C1021" t="str">
        <f>"IČO"</f>
        <v>IČO</v>
      </c>
    </row>
    <row r="1022" spans="1:5" x14ac:dyDescent="0.25">
      <c r="A1022" t="str">
        <f>"Došla"</f>
        <v>Došla</v>
      </c>
      <c r="B1022" t="str">
        <f>"Splatná"</f>
        <v>Splatná</v>
      </c>
      <c r="C1022" t="str">
        <f>"Zaplacená"</f>
        <v>Zaplacená</v>
      </c>
      <c r="D1022" t="str">
        <f>"Fakt.částka"</f>
        <v>Fakt.částka</v>
      </c>
      <c r="E1022" t="str">
        <f>"Celk.zaplaceno"</f>
        <v>Celk.zaplaceno</v>
      </c>
    </row>
    <row r="1023" spans="1:5" x14ac:dyDescent="0.25">
      <c r="B1023" t="str">
        <f>"Poznámka"</f>
        <v>Poznámka</v>
      </c>
    </row>
    <row r="1024" spans="1:5" x14ac:dyDescent="0.25">
      <c r="A1024" t="str">
        <f>"**********"</f>
        <v>**********</v>
      </c>
      <c r="B1024" t="str">
        <f>"**************************"</f>
        <v>**************************</v>
      </c>
      <c r="C1024" t="str">
        <f>"***********"</f>
        <v>***********</v>
      </c>
      <c r="D1024" t="str">
        <f>"***************"</f>
        <v>***************</v>
      </c>
      <c r="E1024" t="str">
        <f>"***************"</f>
        <v>***************</v>
      </c>
    </row>
    <row r="1026" spans="1:5" x14ac:dyDescent="0.25">
      <c r="A1026" t="str">
        <f>"239"</f>
        <v>239</v>
      </c>
      <c r="B1026" t="str">
        <f>"Telefónica 02 CR a.s."</f>
        <v>Telefónica 02 CR a.s.</v>
      </c>
      <c r="C1026" t="str">
        <f>"60193336"</f>
        <v>60193336</v>
      </c>
    </row>
    <row r="1027" spans="1:5" x14ac:dyDescent="0.25">
      <c r="A1027" t="str">
        <f>"18.04.2011"</f>
        <v>18.04.2011</v>
      </c>
      <c r="B1027" t="str">
        <f>"18.04.2011"</f>
        <v>18.04.2011</v>
      </c>
      <c r="C1027" t="str">
        <f>"18.04.2011"</f>
        <v>18.04.2011</v>
      </c>
      <c r="D1027" t="str">
        <f>"1,20"</f>
        <v>1,20</v>
      </c>
      <c r="E1027" t="str">
        <f>"1,20"</f>
        <v>1,20</v>
      </c>
    </row>
    <row r="1030" spans="1:5" x14ac:dyDescent="0.25">
      <c r="A1030" t="str">
        <f>"240"</f>
        <v>240</v>
      </c>
      <c r="B1030" t="str">
        <f>"Česká pošta ,s.p. Praha 1"</f>
        <v>Česká pošta ,s.p. Praha 1</v>
      </c>
      <c r="C1030" t="str">
        <f>"47114983"</f>
        <v>47114983</v>
      </c>
    </row>
    <row r="1031" spans="1:5" x14ac:dyDescent="0.25">
      <c r="A1031" t="str">
        <f>"18.04.2011"</f>
        <v>18.04.2011</v>
      </c>
      <c r="B1031" t="str">
        <f>"19.04.2011"</f>
        <v>19.04.2011</v>
      </c>
      <c r="C1031" t="str">
        <f>"18.04.2011"</f>
        <v>18.04.2011</v>
      </c>
      <c r="D1031" t="str">
        <f>"432,00"</f>
        <v>432,00</v>
      </c>
      <c r="E1031" t="str">
        <f>"432,00"</f>
        <v>432,00</v>
      </c>
    </row>
    <row r="1034" spans="1:5" x14ac:dyDescent="0.25">
      <c r="A1034" t="str">
        <f>"241"</f>
        <v>241</v>
      </c>
      <c r="B1034" t="str">
        <f>"GEOVAP s.r.o. Pardubice"</f>
        <v>GEOVAP s.r.o. Pardubice</v>
      </c>
      <c r="C1034" t="str">
        <f>"15049248"</f>
        <v>15049248</v>
      </c>
    </row>
    <row r="1035" spans="1:5" x14ac:dyDescent="0.25">
      <c r="A1035" t="str">
        <f>"18.04.2011"</f>
        <v>18.04.2011</v>
      </c>
      <c r="B1035" t="str">
        <f>"19.04.2011"</f>
        <v>19.04.2011</v>
      </c>
      <c r="C1035" t="str">
        <f>"18.04.2011"</f>
        <v>18.04.2011</v>
      </c>
      <c r="D1035" t="str">
        <f>"2.000,00"</f>
        <v>2.000,00</v>
      </c>
      <c r="E1035" t="str">
        <f>"2.000,00"</f>
        <v>2.000,00</v>
      </c>
    </row>
    <row r="1038" spans="1:5" x14ac:dyDescent="0.25">
      <c r="A1038" t="str">
        <f>"242"</f>
        <v>242</v>
      </c>
      <c r="B1038" t="str">
        <f>"GEOVAP s.r.o. Pardubice"</f>
        <v>GEOVAP s.r.o. Pardubice</v>
      </c>
      <c r="C1038" t="str">
        <f>"15049248"</f>
        <v>15049248</v>
      </c>
    </row>
    <row r="1039" spans="1:5" x14ac:dyDescent="0.25">
      <c r="A1039" t="str">
        <f>"18.04.2011"</f>
        <v>18.04.2011</v>
      </c>
      <c r="B1039" t="str">
        <f>"19.04.2011"</f>
        <v>19.04.2011</v>
      </c>
      <c r="C1039" t="str">
        <f>"18.04.2011"</f>
        <v>18.04.2011</v>
      </c>
      <c r="D1039" t="str">
        <f>"5.010,00"</f>
        <v>5.010,00</v>
      </c>
      <c r="E1039" t="str">
        <f>"5.010,00"</f>
        <v>5.010,00</v>
      </c>
    </row>
    <row r="1042" spans="1:5" x14ac:dyDescent="0.25">
      <c r="A1042" t="str">
        <f>"243"</f>
        <v>243</v>
      </c>
      <c r="B1042" t="str">
        <f>"Česká pošta ,s.p. Praha 1"</f>
        <v>Česká pošta ,s.p. Praha 1</v>
      </c>
      <c r="C1042" t="str">
        <f>"47114983"</f>
        <v>47114983</v>
      </c>
    </row>
    <row r="1043" spans="1:5" x14ac:dyDescent="0.25">
      <c r="A1043" t="str">
        <f>"18.04.2011"</f>
        <v>18.04.2011</v>
      </c>
      <c r="B1043" t="str">
        <f>"19.04.2011"</f>
        <v>19.04.2011</v>
      </c>
      <c r="C1043" t="str">
        <f>"18.04.2011"</f>
        <v>18.04.2011</v>
      </c>
      <c r="D1043" t="str">
        <f>"48.270,00"</f>
        <v>48.270,00</v>
      </c>
      <c r="E1043" t="str">
        <f>"48.270,00"</f>
        <v>48.270,00</v>
      </c>
    </row>
    <row r="1046" spans="1:5" x14ac:dyDescent="0.25">
      <c r="A1046" t="str">
        <f>"244"</f>
        <v>244</v>
      </c>
      <c r="B1046" t="str">
        <f>"Jednota OD Tábor"</f>
        <v>Jednota OD Tábor</v>
      </c>
      <c r="C1046" t="str">
        <f>"00031925"</f>
        <v>00031925</v>
      </c>
    </row>
    <row r="1047" spans="1:5" x14ac:dyDescent="0.25">
      <c r="A1047" t="str">
        <f>"18.04.2011"</f>
        <v>18.04.2011</v>
      </c>
      <c r="B1047" t="str">
        <f>"20.04.2011"</f>
        <v>20.04.2011</v>
      </c>
      <c r="C1047" t="str">
        <f>"19.04.2011"</f>
        <v>19.04.2011</v>
      </c>
      <c r="D1047" t="str">
        <f>"6.031,60"</f>
        <v>6.031,60</v>
      </c>
      <c r="E1047" t="str">
        <f>"6.031,60"</f>
        <v>6.031,60</v>
      </c>
    </row>
    <row r="1050" spans="1:5" x14ac:dyDescent="0.25">
      <c r="A1050" t="str">
        <f>"245"</f>
        <v>245</v>
      </c>
      <c r="B1050" t="str">
        <f>"Česká pošta, s.p. Praha"</f>
        <v>Česká pošta, s.p. Praha</v>
      </c>
      <c r="C1050" t="str">
        <f>"47114983"</f>
        <v>47114983</v>
      </c>
    </row>
    <row r="1051" spans="1:5" x14ac:dyDescent="0.25">
      <c r="A1051" t="str">
        <f>"18.04.2011"</f>
        <v>18.04.2011</v>
      </c>
      <c r="B1051" t="str">
        <f>"21.04.2011"</f>
        <v>21.04.2011</v>
      </c>
      <c r="C1051" t="str">
        <f>"20.04.2011"</f>
        <v>20.04.2011</v>
      </c>
      <c r="D1051" t="str">
        <f>"278,40"</f>
        <v>278,40</v>
      </c>
      <c r="E1051" t="str">
        <f>"278,40"</f>
        <v>278,40</v>
      </c>
    </row>
    <row r="1054" spans="1:5" x14ac:dyDescent="0.25">
      <c r="A1054" t="str">
        <f>"246"</f>
        <v>246</v>
      </c>
      <c r="B1054" t="str">
        <f>"Česká pošta, s.p. Praha"</f>
        <v>Česká pošta, s.p. Praha</v>
      </c>
      <c r="C1054" t="str">
        <f>"47114983"</f>
        <v>47114983</v>
      </c>
    </row>
    <row r="1055" spans="1:5" x14ac:dyDescent="0.25">
      <c r="A1055" t="str">
        <f>"18.04.2011"</f>
        <v>18.04.2011</v>
      </c>
      <c r="B1055" t="str">
        <f>"21.04.2011"</f>
        <v>21.04.2011</v>
      </c>
      <c r="C1055" t="str">
        <f>"20.04.2011"</f>
        <v>20.04.2011</v>
      </c>
      <c r="D1055" t="str">
        <f>"396,00"</f>
        <v>396,00</v>
      </c>
      <c r="E1055" t="str">
        <f>"396,00"</f>
        <v>396,00</v>
      </c>
    </row>
    <row r="1058" spans="1:5" x14ac:dyDescent="0.25">
      <c r="A1058" t="str">
        <f>"247"</f>
        <v>247</v>
      </c>
      <c r="B1058" t="str">
        <f>"XEROX CR s.r.o. Praha  3"</f>
        <v>XEROX CR s.r.o. Praha  3</v>
      </c>
      <c r="C1058" t="str">
        <f>"48109193"</f>
        <v>48109193</v>
      </c>
    </row>
    <row r="1059" spans="1:5" x14ac:dyDescent="0.25">
      <c r="A1059" t="str">
        <f>"18.04.2011"</f>
        <v>18.04.2011</v>
      </c>
      <c r="B1059" t="str">
        <f>"21.04.2011"</f>
        <v>21.04.2011</v>
      </c>
      <c r="C1059" t="str">
        <f>"20.04.2011"</f>
        <v>20.04.2011</v>
      </c>
      <c r="D1059" t="str">
        <f>"1.579,20"</f>
        <v>1.579,20</v>
      </c>
      <c r="E1059" t="str">
        <f>"1.579,20"</f>
        <v>1.579,20</v>
      </c>
    </row>
    <row r="1062" spans="1:5" x14ac:dyDescent="0.25">
      <c r="A1062" t="str">
        <f>"248"</f>
        <v>248</v>
      </c>
      <c r="B1062" t="str">
        <f>"TJ SPARTAK Soběslav"</f>
        <v>TJ SPARTAK Soběslav</v>
      </c>
      <c r="C1062" t="str">
        <f>"46632191"</f>
        <v>46632191</v>
      </c>
    </row>
    <row r="1063" spans="1:5" x14ac:dyDescent="0.25">
      <c r="A1063" t="str">
        <f>"18.04.2011"</f>
        <v>18.04.2011</v>
      </c>
      <c r="B1063" t="str">
        <f>"21.04.2011"</f>
        <v>21.04.2011</v>
      </c>
      <c r="C1063" t="str">
        <f>"20.04.2011"</f>
        <v>20.04.2011</v>
      </c>
      <c r="D1063" t="str">
        <f>"2.040,00"</f>
        <v>2.040,00</v>
      </c>
      <c r="E1063" t="str">
        <f>"2.040,00"</f>
        <v>2.040,00</v>
      </c>
    </row>
    <row r="1066" spans="1:5" x14ac:dyDescent="0.25">
      <c r="A1066" t="str">
        <f>"249"</f>
        <v>249</v>
      </c>
      <c r="B1066" t="str">
        <f>"Správa města Soběslavi"</f>
        <v>Správa města Soběslavi</v>
      </c>
      <c r="C1066" t="str">
        <f>"26029987"</f>
        <v>26029987</v>
      </c>
    </row>
    <row r="1067" spans="1:5" x14ac:dyDescent="0.25">
      <c r="A1067" t="str">
        <f>"18.04.2011"</f>
        <v>18.04.2011</v>
      </c>
      <c r="B1067" t="str">
        <f>"22.04.2011"</f>
        <v>22.04.2011</v>
      </c>
      <c r="C1067" t="str">
        <f>"20.04.2011"</f>
        <v>20.04.2011</v>
      </c>
      <c r="D1067" t="str">
        <f>"940.000,00"</f>
        <v>940.000,00</v>
      </c>
      <c r="E1067" t="str">
        <f>"940.000,00"</f>
        <v>940.000,00</v>
      </c>
    </row>
    <row r="1070" spans="1:5" x14ac:dyDescent="0.25">
      <c r="A1070" t="str">
        <f>"250"</f>
        <v>250</v>
      </c>
      <c r="B1070" t="str">
        <f>"Tiskárna MV Praha 4"</f>
        <v>Tiskárna MV Praha 4</v>
      </c>
      <c r="C1070" t="str">
        <f>"60498005"</f>
        <v>60498005</v>
      </c>
    </row>
    <row r="1071" spans="1:5" x14ac:dyDescent="0.25">
      <c r="A1071" t="str">
        <f>"18.04.2011"</f>
        <v>18.04.2011</v>
      </c>
      <c r="B1071" t="str">
        <f>"25.04.2011"</f>
        <v>25.04.2011</v>
      </c>
      <c r="C1071" t="str">
        <f>"21.04.2011"</f>
        <v>21.04.2011</v>
      </c>
      <c r="D1071" t="str">
        <f>"2.060,00"</f>
        <v>2.060,00</v>
      </c>
      <c r="E1071" t="str">
        <f>"2.060,00"</f>
        <v>2.060,00</v>
      </c>
    </row>
    <row r="1074" spans="1:5" x14ac:dyDescent="0.25">
      <c r="A1074" t="str">
        <f>"251"</f>
        <v>251</v>
      </c>
      <c r="B1074" t="str">
        <f>"Verlag Dashöfer Praha"</f>
        <v>Verlag Dashöfer Praha</v>
      </c>
      <c r="C1074" t="str">
        <f>"45245681"</f>
        <v>45245681</v>
      </c>
    </row>
    <row r="1075" spans="1:5" x14ac:dyDescent="0.25">
      <c r="A1075" t="str">
        <f>"18.04.2011"</f>
        <v>18.04.2011</v>
      </c>
      <c r="B1075" t="str">
        <f>"27.04.2011"</f>
        <v>27.04.2011</v>
      </c>
      <c r="C1075" t="str">
        <f>"22.04.2011"</f>
        <v>22.04.2011</v>
      </c>
      <c r="D1075" t="str">
        <f>"5.145,00"</f>
        <v>5.145,00</v>
      </c>
      <c r="E1075" t="str">
        <f>"5.145,00"</f>
        <v>5.145,00</v>
      </c>
    </row>
    <row r="1078" spans="1:5" x14ac:dyDescent="0.25">
      <c r="A1078" t="str">
        <f>"252"</f>
        <v>252</v>
      </c>
      <c r="B1078" t="str">
        <f>"T.O.D.O.K. s.r.o.Soběslav"</f>
        <v>T.O.D.O.K. s.r.o.Soběslav</v>
      </c>
      <c r="C1078" t="str">
        <f>"48201936"</f>
        <v>48201936</v>
      </c>
    </row>
    <row r="1079" spans="1:5" x14ac:dyDescent="0.25">
      <c r="A1079" t="str">
        <f>"18.04.2011"</f>
        <v>18.04.2011</v>
      </c>
      <c r="B1079" t="str">
        <f>"02.05.2011"</f>
        <v>02.05.2011</v>
      </c>
      <c r="C1079" t="str">
        <f>"28.04.2011"</f>
        <v>28.04.2011</v>
      </c>
      <c r="D1079" t="str">
        <f>"200.000,00"</f>
        <v>200.000,00</v>
      </c>
      <c r="E1079" t="str">
        <f>"200.000,00"</f>
        <v>200.000,00</v>
      </c>
    </row>
    <row r="1081" spans="1:5" x14ac:dyDescent="0.25">
      <c r="A1081" t="str">
        <f>"Poř.č.fak."</f>
        <v>Poř.č.fak.</v>
      </c>
      <c r="B1081" t="str">
        <f>"Dodavatel"</f>
        <v>Dodavatel</v>
      </c>
      <c r="C1081" t="str">
        <f>"IČO"</f>
        <v>IČO</v>
      </c>
    </row>
    <row r="1082" spans="1:5" x14ac:dyDescent="0.25">
      <c r="A1082" t="str">
        <f>"Došla"</f>
        <v>Došla</v>
      </c>
      <c r="B1082" t="str">
        <f>"Splatná"</f>
        <v>Splatná</v>
      </c>
      <c r="C1082" t="str">
        <f>"Zaplacená"</f>
        <v>Zaplacená</v>
      </c>
      <c r="D1082" t="str">
        <f>"Fakt.částka"</f>
        <v>Fakt.částka</v>
      </c>
      <c r="E1082" t="str">
        <f>"Celk.zaplaceno"</f>
        <v>Celk.zaplaceno</v>
      </c>
    </row>
    <row r="1083" spans="1:5" x14ac:dyDescent="0.25">
      <c r="B1083" t="str">
        <f>"Poznámka"</f>
        <v>Poznámka</v>
      </c>
    </row>
    <row r="1084" spans="1:5" x14ac:dyDescent="0.25">
      <c r="A1084" t="str">
        <f>"**********"</f>
        <v>**********</v>
      </c>
      <c r="B1084" t="str">
        <f>"**************************"</f>
        <v>**************************</v>
      </c>
      <c r="C1084" t="str">
        <f>"***********"</f>
        <v>***********</v>
      </c>
      <c r="D1084" t="str">
        <f>"***************"</f>
        <v>***************</v>
      </c>
      <c r="E1084" t="str">
        <f>"***************"</f>
        <v>***************</v>
      </c>
    </row>
    <row r="1086" spans="1:5" x14ac:dyDescent="0.25">
      <c r="A1086" t="str">
        <f>"253"</f>
        <v>253</v>
      </c>
      <c r="B1086" t="str">
        <f>"GEFOS a.s. Praha 8"</f>
        <v>GEFOS a.s. Praha 8</v>
      </c>
      <c r="C1086" t="str">
        <f>"25684213"</f>
        <v>25684213</v>
      </c>
    </row>
    <row r="1087" spans="1:5" x14ac:dyDescent="0.25">
      <c r="A1087" t="str">
        <f>"15.04.2011"</f>
        <v>15.04.2011</v>
      </c>
      <c r="B1087" t="str">
        <f>"27.04.2011"</f>
        <v>27.04.2011</v>
      </c>
      <c r="C1087" t="str">
        <f>"27.04.2011"</f>
        <v>27.04.2011</v>
      </c>
      <c r="D1087" t="str">
        <f>"10.440,00"</f>
        <v>10.440,00</v>
      </c>
      <c r="E1087" t="str">
        <f>"10.440,00"</f>
        <v>10.440,00</v>
      </c>
    </row>
    <row r="1090" spans="1:5" x14ac:dyDescent="0.25">
      <c r="A1090" t="str">
        <f>"254"</f>
        <v>254</v>
      </c>
      <c r="B1090" t="str">
        <f>"Lesy ČR s.p. Jindř.Hradec"</f>
        <v>Lesy ČR s.p. Jindř.Hradec</v>
      </c>
      <c r="C1090" t="str">
        <f>"42196451"</f>
        <v>42196451</v>
      </c>
    </row>
    <row r="1091" spans="1:5" x14ac:dyDescent="0.25">
      <c r="A1091" t="str">
        <f>"18.04.2011"</f>
        <v>18.04.2011</v>
      </c>
      <c r="B1091" t="str">
        <f>"14.07.2011"</f>
        <v>14.07.2011</v>
      </c>
      <c r="C1091" t="str">
        <f>"22.06.2011"</f>
        <v>22.06.2011</v>
      </c>
      <c r="D1091" t="str">
        <f>"169.533,00"</f>
        <v>169.533,00</v>
      </c>
      <c r="E1091" t="str">
        <f>"169.533,00"</f>
        <v>169.533,00</v>
      </c>
    </row>
    <row r="1094" spans="1:5" x14ac:dyDescent="0.25">
      <c r="A1094" t="str">
        <f>"255"</f>
        <v>255</v>
      </c>
      <c r="B1094" t="str">
        <f>"Hajný-T s.r.o."</f>
        <v>Hajný-T s.r.o.</v>
      </c>
      <c r="C1094" t="str">
        <f>"63886839"</f>
        <v>63886839</v>
      </c>
    </row>
    <row r="1095" spans="1:5" x14ac:dyDescent="0.25">
      <c r="A1095" t="str">
        <f>"19.04.2011"</f>
        <v>19.04.2011</v>
      </c>
      <c r="B1095" t="str">
        <f>"03.05.2011"</f>
        <v>03.05.2011</v>
      </c>
      <c r="C1095" t="str">
        <f>"02.05.2011"</f>
        <v>02.05.2011</v>
      </c>
      <c r="D1095" t="str">
        <f>"888,00"</f>
        <v>888,00</v>
      </c>
      <c r="E1095" t="str">
        <f>"888,00"</f>
        <v>888,00</v>
      </c>
    </row>
    <row r="1098" spans="1:5" x14ac:dyDescent="0.25">
      <c r="A1098" t="str">
        <f>"256"</f>
        <v>256</v>
      </c>
      <c r="B1098" t="str">
        <f>"Hajný-T s.r.o."</f>
        <v>Hajný-T s.r.o.</v>
      </c>
      <c r="C1098" t="str">
        <f>"63886839"</f>
        <v>63886839</v>
      </c>
    </row>
    <row r="1099" spans="1:5" x14ac:dyDescent="0.25">
      <c r="A1099" t="str">
        <f>"19.04.2011"</f>
        <v>19.04.2011</v>
      </c>
      <c r="B1099" t="str">
        <f>"03.05.2011"</f>
        <v>03.05.2011</v>
      </c>
      <c r="C1099" t="str">
        <f>"02.05.2011"</f>
        <v>02.05.2011</v>
      </c>
      <c r="D1099" t="str">
        <f>"27.488,00"</f>
        <v>27.488,00</v>
      </c>
      <c r="E1099" t="str">
        <f>"27.488,00"</f>
        <v>27.488,00</v>
      </c>
    </row>
    <row r="1102" spans="1:5" x14ac:dyDescent="0.25">
      <c r="A1102" t="str">
        <f>"257"</f>
        <v>257</v>
      </c>
      <c r="B1102" t="str">
        <f>"Akustika Praha s.r.o."</f>
        <v>Akustika Praha s.r.o.</v>
      </c>
      <c r="C1102" t="str">
        <f>"60490608"</f>
        <v>60490608</v>
      </c>
    </row>
    <row r="1103" spans="1:5" x14ac:dyDescent="0.25">
      <c r="A1103" t="str">
        <f>"20.04.2011"</f>
        <v>20.04.2011</v>
      </c>
      <c r="B1103" t="str">
        <f>"02.05.2011"</f>
        <v>02.05.2011</v>
      </c>
      <c r="C1103" t="str">
        <f>"02.05.2011"</f>
        <v>02.05.2011</v>
      </c>
      <c r="D1103" t="str">
        <f>"10.800,00"</f>
        <v>10.800,00</v>
      </c>
      <c r="E1103" t="str">
        <f>"10.800,00"</f>
        <v>10.800,00</v>
      </c>
    </row>
    <row r="1106" spans="1:5" x14ac:dyDescent="0.25">
      <c r="A1106" t="str">
        <f>"258"</f>
        <v>258</v>
      </c>
      <c r="B1106" t="str">
        <f>"Autoservis Jindra s.r.o."</f>
        <v>Autoservis Jindra s.r.o.</v>
      </c>
      <c r="C1106" t="str">
        <f>"63277956"</f>
        <v>63277956</v>
      </c>
    </row>
    <row r="1107" spans="1:5" x14ac:dyDescent="0.25">
      <c r="A1107" t="str">
        <f>"22.04.2011"</f>
        <v>22.04.2011</v>
      </c>
      <c r="B1107" t="str">
        <f>"30.04.2011"</f>
        <v>30.04.2011</v>
      </c>
      <c r="C1107" t="str">
        <f>"28.04.2011"</f>
        <v>28.04.2011</v>
      </c>
      <c r="D1107" t="str">
        <f>"867,00"</f>
        <v>867,00</v>
      </c>
      <c r="E1107" t="str">
        <f>"867,00"</f>
        <v>867,00</v>
      </c>
    </row>
    <row r="1110" spans="1:5" x14ac:dyDescent="0.25">
      <c r="A1110" t="str">
        <f>"259"</f>
        <v>259</v>
      </c>
      <c r="B1110" t="str">
        <f>"Autoservis Jindra s.r.o."</f>
        <v>Autoservis Jindra s.r.o.</v>
      </c>
      <c r="C1110" t="str">
        <f>"63277956"</f>
        <v>63277956</v>
      </c>
    </row>
    <row r="1111" spans="1:5" x14ac:dyDescent="0.25">
      <c r="A1111" t="str">
        <f>"22.04.2011"</f>
        <v>22.04.2011</v>
      </c>
      <c r="B1111" t="str">
        <f>"30.04.2011"</f>
        <v>30.04.2011</v>
      </c>
      <c r="C1111" t="str">
        <f>"28.04.2011"</f>
        <v>28.04.2011</v>
      </c>
      <c r="D1111" t="str">
        <f>"867,00"</f>
        <v>867,00</v>
      </c>
      <c r="E1111" t="str">
        <f>"867,00"</f>
        <v>867,00</v>
      </c>
    </row>
    <row r="1114" spans="1:5" x14ac:dyDescent="0.25">
      <c r="A1114" t="str">
        <f>"260"</f>
        <v>260</v>
      </c>
      <c r="B1114" t="str">
        <f>"Domov Fauny s.r.o. Praha"</f>
        <v>Domov Fauny s.r.o. Praha</v>
      </c>
      <c r="C1114" t="str">
        <f>"27195481"</f>
        <v>27195481</v>
      </c>
    </row>
    <row r="1115" spans="1:5" x14ac:dyDescent="0.25">
      <c r="A1115" t="str">
        <f>"22.04.2011"</f>
        <v>22.04.2011</v>
      </c>
      <c r="B1115" t="str">
        <f>"05.05.2011"</f>
        <v>05.05.2011</v>
      </c>
      <c r="C1115" t="str">
        <f>"03.05.2011"</f>
        <v>03.05.2011</v>
      </c>
      <c r="D1115" t="str">
        <f>"9.600,00"</f>
        <v>9.600,00</v>
      </c>
      <c r="E1115" t="str">
        <f>"9.600,00"</f>
        <v>9.600,00</v>
      </c>
    </row>
    <row r="1118" spans="1:5" x14ac:dyDescent="0.25">
      <c r="A1118" t="str">
        <f>"261"</f>
        <v>261</v>
      </c>
      <c r="B1118" t="str">
        <f>"Autoservis Jindra s.r.o."</f>
        <v>Autoservis Jindra s.r.o.</v>
      </c>
      <c r="C1118" t="str">
        <f>"63277956"</f>
        <v>63277956</v>
      </c>
    </row>
    <row r="1119" spans="1:5" x14ac:dyDescent="0.25">
      <c r="A1119" t="str">
        <f>"26.04.2011"</f>
        <v>26.04.2011</v>
      </c>
      <c r="B1119" t="str">
        <f>"01.05.2011"</f>
        <v>01.05.2011</v>
      </c>
      <c r="C1119" t="str">
        <f>"28.04.2011"</f>
        <v>28.04.2011</v>
      </c>
      <c r="D1119" t="str">
        <f>"867,00"</f>
        <v>867,00</v>
      </c>
      <c r="E1119" t="str">
        <f>"867,00"</f>
        <v>867,00</v>
      </c>
    </row>
    <row r="1122" spans="1:5" x14ac:dyDescent="0.25">
      <c r="A1122" t="str">
        <f>"262"</f>
        <v>262</v>
      </c>
      <c r="B1122" t="str">
        <f>"TEPO-LD s.r.o. Soběslav"</f>
        <v>TEPO-LD s.r.o. Soběslav</v>
      </c>
      <c r="C1122" t="str">
        <f>"26113848"</f>
        <v>26113848</v>
      </c>
    </row>
    <row r="1123" spans="1:5" x14ac:dyDescent="0.25">
      <c r="A1123" t="str">
        <f>"26.04.2011"</f>
        <v>26.04.2011</v>
      </c>
      <c r="B1123" t="str">
        <f>"17.04.2011"</f>
        <v>17.04.2011</v>
      </c>
      <c r="C1123" t="str">
        <f>"27.04.2011"</f>
        <v>27.04.2011</v>
      </c>
      <c r="D1123" t="str">
        <f>"3.196,00"</f>
        <v>3.196,00</v>
      </c>
      <c r="E1123" t="str">
        <f>"3.196,00"</f>
        <v>3.196,00</v>
      </c>
    </row>
    <row r="1126" spans="1:5" x14ac:dyDescent="0.25">
      <c r="A1126" t="str">
        <f>"263"</f>
        <v>263</v>
      </c>
      <c r="B1126" t="str">
        <f>"VITA software s.r.o. Prah"</f>
        <v>VITA software s.r.o. Prah</v>
      </c>
      <c r="C1126" t="str">
        <f>"61060631"</f>
        <v>61060631</v>
      </c>
    </row>
    <row r="1127" spans="1:5" x14ac:dyDescent="0.25">
      <c r="A1127" t="str">
        <f>"27.04.2011"</f>
        <v>27.04.2011</v>
      </c>
      <c r="B1127" t="str">
        <f>"26.04.2011"</f>
        <v>26.04.2011</v>
      </c>
      <c r="C1127" t="str">
        <f>"03.05.2011"</f>
        <v>03.05.2011</v>
      </c>
      <c r="D1127" t="str">
        <f>"1.600,00"</f>
        <v>1.600,00</v>
      </c>
      <c r="E1127" t="str">
        <f>"1.600,00"</f>
        <v>1.600,00</v>
      </c>
    </row>
    <row r="1130" spans="1:5" x14ac:dyDescent="0.25">
      <c r="A1130" t="str">
        <f>"264"</f>
        <v>264</v>
      </c>
      <c r="B1130" t="str">
        <f>"VITA software s.r.o. Prah"</f>
        <v>VITA software s.r.o. Prah</v>
      </c>
      <c r="C1130" t="str">
        <f>"61060631"</f>
        <v>61060631</v>
      </c>
    </row>
    <row r="1131" spans="1:5" x14ac:dyDescent="0.25">
      <c r="A1131" t="str">
        <f>"27.04.2011"</f>
        <v>27.04.2011</v>
      </c>
      <c r="B1131" t="str">
        <f>"04.05.2011"</f>
        <v>04.05.2011</v>
      </c>
      <c r="C1131" t="str">
        <f>"03.05.2011"</f>
        <v>03.05.2011</v>
      </c>
      <c r="D1131" t="str">
        <f>"14.760,00"</f>
        <v>14.760,00</v>
      </c>
      <c r="E1131" t="str">
        <f>"14.760,00"</f>
        <v>14.760,00</v>
      </c>
    </row>
    <row r="1134" spans="1:5" x14ac:dyDescent="0.25">
      <c r="A1134" t="str">
        <f>"265"</f>
        <v>265</v>
      </c>
      <c r="B1134" t="str">
        <f>"VIALIT Soběslav"</f>
        <v>VIALIT Soběslav</v>
      </c>
      <c r="C1134" t="str">
        <f>"14504456"</f>
        <v>14504456</v>
      </c>
    </row>
    <row r="1135" spans="1:5" x14ac:dyDescent="0.25">
      <c r="A1135" t="str">
        <f>"27.04.2011"</f>
        <v>27.04.2011</v>
      </c>
      <c r="B1135" t="str">
        <f>"10.05.2011"</f>
        <v>10.05.2011</v>
      </c>
      <c r="C1135" t="str">
        <f>"04.05.2011"</f>
        <v>04.05.2011</v>
      </c>
      <c r="D1135" t="str">
        <f>"86.023,00"</f>
        <v>86.023,00</v>
      </c>
      <c r="E1135" t="str">
        <f>"86.023,00"</f>
        <v>86.023,00</v>
      </c>
    </row>
    <row r="1138" spans="1:5" x14ac:dyDescent="0.25">
      <c r="A1138" t="str">
        <f>"266"</f>
        <v>266</v>
      </c>
      <c r="B1138" t="str">
        <f>"VIALIT Soběslav"</f>
        <v>VIALIT Soběslav</v>
      </c>
      <c r="C1138" t="str">
        <f>"14504456"</f>
        <v>14504456</v>
      </c>
    </row>
    <row r="1139" spans="1:5" x14ac:dyDescent="0.25">
      <c r="A1139" t="str">
        <f>"27.04.2011"</f>
        <v>27.04.2011</v>
      </c>
      <c r="B1139" t="str">
        <f>"10.05.2011"</f>
        <v>10.05.2011</v>
      </c>
      <c r="C1139" t="str">
        <f>"04.05.2011"</f>
        <v>04.05.2011</v>
      </c>
      <c r="D1139" t="str">
        <f>"159.401,00"</f>
        <v>159.401,00</v>
      </c>
      <c r="E1139" t="str">
        <f>"159.401,00"</f>
        <v>159.401,00</v>
      </c>
    </row>
    <row r="1141" spans="1:5" x14ac:dyDescent="0.25">
      <c r="A1141" t="str">
        <f>"Poř.č.fak."</f>
        <v>Poř.č.fak.</v>
      </c>
      <c r="B1141" t="str">
        <f>"Dodavatel"</f>
        <v>Dodavatel</v>
      </c>
      <c r="C1141" t="str">
        <f>"IČO"</f>
        <v>IČO</v>
      </c>
    </row>
    <row r="1142" spans="1:5" x14ac:dyDescent="0.25">
      <c r="A1142" t="str">
        <f>"Došla"</f>
        <v>Došla</v>
      </c>
      <c r="B1142" t="str">
        <f>"Splatná"</f>
        <v>Splatná</v>
      </c>
      <c r="C1142" t="str">
        <f>"Zaplacená"</f>
        <v>Zaplacená</v>
      </c>
      <c r="D1142" t="str">
        <f>"Fakt.částka"</f>
        <v>Fakt.částka</v>
      </c>
      <c r="E1142" t="str">
        <f>"Celk.zaplaceno"</f>
        <v>Celk.zaplaceno</v>
      </c>
    </row>
    <row r="1143" spans="1:5" x14ac:dyDescent="0.25">
      <c r="B1143" t="str">
        <f>"Poznámka"</f>
        <v>Poznámka</v>
      </c>
    </row>
    <row r="1144" spans="1:5" x14ac:dyDescent="0.25">
      <c r="A1144" t="str">
        <f>"**********"</f>
        <v>**********</v>
      </c>
      <c r="B1144" t="str">
        <f>"**************************"</f>
        <v>**************************</v>
      </c>
      <c r="C1144" t="str">
        <f>"***********"</f>
        <v>***********</v>
      </c>
      <c r="D1144" t="str">
        <f>"***************"</f>
        <v>***************</v>
      </c>
      <c r="E1144" t="str">
        <f>"***************"</f>
        <v>***************</v>
      </c>
    </row>
    <row r="1146" spans="1:5" x14ac:dyDescent="0.25">
      <c r="A1146" t="str">
        <f>"267"</f>
        <v>267</v>
      </c>
      <c r="B1146" t="str">
        <f>"Jiří Polák Tábor"</f>
        <v>Jiří Polák Tábor</v>
      </c>
      <c r="C1146" t="str">
        <f>"74560425"</f>
        <v>74560425</v>
      </c>
    </row>
    <row r="1147" spans="1:5" x14ac:dyDescent="0.25">
      <c r="A1147" t="str">
        <f>"29.04.2011"</f>
        <v>29.04.2011</v>
      </c>
      <c r="B1147" t="str">
        <f>"05.05.2011"</f>
        <v>05.05.2011</v>
      </c>
      <c r="C1147" t="str">
        <f>"03.05.2011"</f>
        <v>03.05.2011</v>
      </c>
      <c r="D1147" t="str">
        <f>"5.420,00"</f>
        <v>5.420,00</v>
      </c>
      <c r="E1147" t="str">
        <f>"5.420,00"</f>
        <v>5.420,00</v>
      </c>
    </row>
    <row r="1150" spans="1:5" x14ac:dyDescent="0.25">
      <c r="A1150" t="str">
        <f>"268"</f>
        <v>268</v>
      </c>
      <c r="B1150" t="str">
        <f>"KONICA MINOLTA s.r.o."</f>
        <v>KONICA MINOLTA s.r.o.</v>
      </c>
      <c r="C1150" t="str">
        <f>"00176150"</f>
        <v>00176150</v>
      </c>
    </row>
    <row r="1151" spans="1:5" x14ac:dyDescent="0.25">
      <c r="A1151" t="str">
        <f>"29.04.2011"</f>
        <v>29.04.2011</v>
      </c>
      <c r="B1151" t="str">
        <f>"06.05.2011"</f>
        <v>06.05.2011</v>
      </c>
      <c r="C1151" t="str">
        <f>"04.05.2011"</f>
        <v>04.05.2011</v>
      </c>
      <c r="D1151" t="str">
        <f>"5.220,60"</f>
        <v>5.220,60</v>
      </c>
      <c r="E1151" t="str">
        <f>"5.220,60"</f>
        <v>5.220,60</v>
      </c>
    </row>
    <row r="1154" spans="1:5" x14ac:dyDescent="0.25">
      <c r="A1154" t="str">
        <f>"269"</f>
        <v>269</v>
      </c>
      <c r="B1154" t="str">
        <f>"Libor LOOS Soběslav"</f>
        <v>Libor LOOS Soběslav</v>
      </c>
      <c r="C1154" t="str">
        <f>"74392255"</f>
        <v>74392255</v>
      </c>
    </row>
    <row r="1155" spans="1:5" x14ac:dyDescent="0.25">
      <c r="A1155" t="str">
        <f>"02.05.2011"</f>
        <v>02.05.2011</v>
      </c>
      <c r="B1155" t="str">
        <f>"05.05.2011"</f>
        <v>05.05.2011</v>
      </c>
      <c r="C1155" t="str">
        <f>"05.05.2011"</f>
        <v>05.05.2011</v>
      </c>
      <c r="D1155" t="str">
        <f>"17.800,00"</f>
        <v>17.800,00</v>
      </c>
      <c r="E1155" t="str">
        <f>"17.800,00"</f>
        <v>17.800,00</v>
      </c>
    </row>
    <row r="1158" spans="1:5" x14ac:dyDescent="0.25">
      <c r="A1158" t="str">
        <f>"270"</f>
        <v>270</v>
      </c>
      <c r="B1158" t="str">
        <f>"Java Třeboň"</f>
        <v>Java Třeboň</v>
      </c>
      <c r="C1158" t="str">
        <f>"15792994"</f>
        <v>15792994</v>
      </c>
    </row>
    <row r="1159" spans="1:5" x14ac:dyDescent="0.25">
      <c r="A1159" t="str">
        <f>"02.05.2011"</f>
        <v>02.05.2011</v>
      </c>
      <c r="B1159" t="str">
        <f>"08.05.2011"</f>
        <v>08.05.2011</v>
      </c>
      <c r="C1159" t="str">
        <f>"06.05.2011"</f>
        <v>06.05.2011</v>
      </c>
      <c r="D1159" t="str">
        <f>"36.014,00"</f>
        <v>36.014,00</v>
      </c>
      <c r="E1159" t="str">
        <f>"36.014,00"</f>
        <v>36.014,00</v>
      </c>
    </row>
    <row r="1162" spans="1:5" x14ac:dyDescent="0.25">
      <c r="A1162" t="str">
        <f>"271"</f>
        <v>271</v>
      </c>
      <c r="B1162" t="str">
        <f>"JIHOSTAV s.r.o. Soběslav"</f>
        <v>JIHOSTAV s.r.o. Soběslav</v>
      </c>
      <c r="C1162" t="str">
        <f>"47239484"</f>
        <v>47239484</v>
      </c>
    </row>
    <row r="1163" spans="1:5" x14ac:dyDescent="0.25">
      <c r="A1163" t="str">
        <f>"03.05.2011"</f>
        <v>03.05.2011</v>
      </c>
      <c r="B1163" t="str">
        <f>"09.05.2011"</f>
        <v>09.05.2011</v>
      </c>
      <c r="C1163" t="str">
        <f>"10.05.2011"</f>
        <v>10.05.2011</v>
      </c>
      <c r="D1163" t="str">
        <f>"106.060,00"</f>
        <v>106.060,00</v>
      </c>
      <c r="E1163" t="str">
        <f>"106.060,00"</f>
        <v>106.060,00</v>
      </c>
    </row>
    <row r="1166" spans="1:5" x14ac:dyDescent="0.25">
      <c r="A1166" t="str">
        <f>"272"</f>
        <v>272</v>
      </c>
      <c r="B1166" t="str">
        <f>"QASAR s.r.o. Mažice"</f>
        <v>QASAR s.r.o. Mažice</v>
      </c>
      <c r="C1166" t="str">
        <f>"25192469"</f>
        <v>25192469</v>
      </c>
    </row>
    <row r="1167" spans="1:5" x14ac:dyDescent="0.25">
      <c r="A1167" t="str">
        <f>"02.05.2011"</f>
        <v>02.05.2011</v>
      </c>
      <c r="B1167" t="str">
        <f>"31.05.2011"</f>
        <v>31.05.2011</v>
      </c>
      <c r="C1167" t="str">
        <f>"26.05.2011"</f>
        <v>26.05.2011</v>
      </c>
      <c r="D1167" t="str">
        <f>"4.800,00"</f>
        <v>4.800,00</v>
      </c>
      <c r="E1167" t="str">
        <f>"4.800,00"</f>
        <v>4.800,00</v>
      </c>
    </row>
    <row r="1170" spans="1:5" x14ac:dyDescent="0.25">
      <c r="A1170" t="str">
        <f>"273"</f>
        <v>273</v>
      </c>
      <c r="B1170" t="str">
        <f>"Správa města Soběslavi"</f>
        <v>Správa města Soběslavi</v>
      </c>
      <c r="C1170" t="str">
        <f>"26029987"</f>
        <v>26029987</v>
      </c>
    </row>
    <row r="1171" spans="1:5" x14ac:dyDescent="0.25">
      <c r="A1171" t="str">
        <f>"02.05.2011"</f>
        <v>02.05.2011</v>
      </c>
      <c r="B1171" t="str">
        <f>"13.05.2011"</f>
        <v>13.05.2011</v>
      </c>
      <c r="C1171" t="str">
        <f>"12.05.2011"</f>
        <v>12.05.2011</v>
      </c>
      <c r="D1171" t="str">
        <f>"5.376,00"</f>
        <v>5.376,00</v>
      </c>
      <c r="E1171" t="str">
        <f>"5.376,00"</f>
        <v>5.376,00</v>
      </c>
    </row>
    <row r="1174" spans="1:5" x14ac:dyDescent="0.25">
      <c r="A1174" t="str">
        <f>"274"</f>
        <v>274</v>
      </c>
      <c r="B1174" t="str">
        <f>"Jan Eisler -Fragment"</f>
        <v>Jan Eisler -Fragment</v>
      </c>
      <c r="C1174" t="str">
        <f>"16256603"</f>
        <v>16256603</v>
      </c>
    </row>
    <row r="1175" spans="1:5" x14ac:dyDescent="0.25">
      <c r="A1175" t="str">
        <f>"02.05.2011"</f>
        <v>02.05.2011</v>
      </c>
      <c r="B1175" t="str">
        <f>"13.05.2011"</f>
        <v>13.05.2011</v>
      </c>
      <c r="C1175" t="str">
        <f>"12.05.2011"</f>
        <v>12.05.2011</v>
      </c>
      <c r="D1175" t="str">
        <f>"11.500,00"</f>
        <v>11.500,00</v>
      </c>
      <c r="E1175" t="str">
        <f>"11.500,00"</f>
        <v>11.500,00</v>
      </c>
    </row>
    <row r="1178" spans="1:5" x14ac:dyDescent="0.25">
      <c r="A1178" t="str">
        <f>"275"</f>
        <v>275</v>
      </c>
      <c r="B1178" t="str">
        <f>"Správa města Soběslavi"</f>
        <v>Správa města Soběslavi</v>
      </c>
      <c r="C1178" t="str">
        <f>"26029987"</f>
        <v>26029987</v>
      </c>
    </row>
    <row r="1179" spans="1:5" x14ac:dyDescent="0.25">
      <c r="A1179" t="str">
        <f>"02.05.2011"</f>
        <v>02.05.2011</v>
      </c>
      <c r="B1179" t="str">
        <f>"13.05.2011"</f>
        <v>13.05.2011</v>
      </c>
      <c r="C1179" t="str">
        <f>"12.05.2011"</f>
        <v>12.05.2011</v>
      </c>
      <c r="D1179" t="str">
        <f>"29.407,00"</f>
        <v>29.407,00</v>
      </c>
      <c r="E1179" t="str">
        <f>"29.407,00"</f>
        <v>29.407,00</v>
      </c>
    </row>
    <row r="1182" spans="1:5" x14ac:dyDescent="0.25">
      <c r="A1182" t="str">
        <f>"276"</f>
        <v>276</v>
      </c>
      <c r="B1182" t="str">
        <f>"Spilka a Říha s.r.o. Sobě"</f>
        <v>Spilka a Říha s.r.o. Sobě</v>
      </c>
      <c r="C1182" t="str">
        <f>"45021309"</f>
        <v>45021309</v>
      </c>
    </row>
    <row r="1183" spans="1:5" x14ac:dyDescent="0.25">
      <c r="A1183" t="str">
        <f>"02.05.2011"</f>
        <v>02.05.2011</v>
      </c>
      <c r="B1183" t="str">
        <f>"20.05.2011"</f>
        <v>20.05.2011</v>
      </c>
      <c r="C1183" t="str">
        <f>"17.05.2011"</f>
        <v>17.05.2011</v>
      </c>
      <c r="D1183" t="str">
        <f>"5.251.351,00"</f>
        <v>5.251.351,00</v>
      </c>
      <c r="E1183" t="str">
        <f>"5.251.351,00"</f>
        <v>5.251.351,00</v>
      </c>
    </row>
    <row r="1186" spans="1:5" x14ac:dyDescent="0.25">
      <c r="A1186" t="str">
        <f>"277"</f>
        <v>277</v>
      </c>
      <c r="B1186" t="str">
        <f>"Ing.Petr Kubal Stinná"</f>
        <v>Ing.Petr Kubal Stinná</v>
      </c>
      <c r="C1186" t="str">
        <f>"16709900"</f>
        <v>16709900</v>
      </c>
    </row>
    <row r="1187" spans="1:5" x14ac:dyDescent="0.25">
      <c r="A1187" t="str">
        <f>"03.05.2011"</f>
        <v>03.05.2011</v>
      </c>
      <c r="B1187" t="str">
        <f>"15.05.2011"</f>
        <v>15.05.2011</v>
      </c>
      <c r="C1187" t="str">
        <f>"13.05.2011"</f>
        <v>13.05.2011</v>
      </c>
      <c r="D1187" t="str">
        <f>"1.200,00"</f>
        <v>1.200,00</v>
      </c>
      <c r="E1187" t="str">
        <f>"1.200,00"</f>
        <v>1.200,00</v>
      </c>
    </row>
    <row r="1190" spans="1:5" x14ac:dyDescent="0.25">
      <c r="A1190" t="str">
        <f>"278"</f>
        <v>278</v>
      </c>
      <c r="B1190" t="str">
        <f>"ČMMJ Okresní mysl.spolek"</f>
        <v>ČMMJ Okresní mysl.spolek</v>
      </c>
      <c r="C1190" t="str">
        <f>"67777821"</f>
        <v>67777821</v>
      </c>
    </row>
    <row r="1191" spans="1:5" x14ac:dyDescent="0.25">
      <c r="A1191" t="str">
        <f>"03.05.2011"</f>
        <v>03.05.2011</v>
      </c>
      <c r="B1191" t="str">
        <f>"16.05.2011"</f>
        <v>16.05.2011</v>
      </c>
      <c r="C1191" t="str">
        <f>"13.05.2011"</f>
        <v>13.05.2011</v>
      </c>
      <c r="D1191" t="str">
        <f>"3.000,00"</f>
        <v>3.000,00</v>
      </c>
      <c r="E1191" t="str">
        <f>"3.000,00"</f>
        <v>3.000,00</v>
      </c>
    </row>
    <row r="1194" spans="1:5" x14ac:dyDescent="0.25">
      <c r="A1194" t="str">
        <f>"279"</f>
        <v>279</v>
      </c>
      <c r="B1194" t="str">
        <f>"Gordic  s.r.o. Jihlava"</f>
        <v>Gordic  s.r.o. Jihlava</v>
      </c>
      <c r="C1194" t="str">
        <f>"47903783"</f>
        <v>47903783</v>
      </c>
    </row>
    <row r="1195" spans="1:5" x14ac:dyDescent="0.25">
      <c r="A1195" t="str">
        <f>"03.05.2011"</f>
        <v>03.05.2011</v>
      </c>
      <c r="B1195" t="str">
        <f>"15.05.2011"</f>
        <v>15.05.2011</v>
      </c>
      <c r="C1195" t="str">
        <f>"13.05.2011"</f>
        <v>13.05.2011</v>
      </c>
      <c r="D1195" t="str">
        <f>"5.730,00"</f>
        <v>5.730,00</v>
      </c>
      <c r="E1195" t="str">
        <f>"5.730,00"</f>
        <v>5.730,00</v>
      </c>
    </row>
    <row r="1198" spans="1:5" x14ac:dyDescent="0.25">
      <c r="A1198" t="str">
        <f>"280"</f>
        <v>280</v>
      </c>
      <c r="B1198" t="str">
        <f>"Jana Poláková Soběslav"</f>
        <v>Jana Poláková Soběslav</v>
      </c>
      <c r="C1198" t="str">
        <f>"18302076"</f>
        <v>18302076</v>
      </c>
    </row>
    <row r="1199" spans="1:5" x14ac:dyDescent="0.25">
      <c r="A1199" t="str">
        <f>"03.05.2011"</f>
        <v>03.05.2011</v>
      </c>
      <c r="B1199" t="str">
        <f>"06.05.2011"</f>
        <v>06.05.2011</v>
      </c>
      <c r="C1199" t="str">
        <f>"03.05.2011"</f>
        <v>03.05.2011</v>
      </c>
      <c r="D1199" t="str">
        <f>"47.800,00"</f>
        <v>47.800,00</v>
      </c>
      <c r="E1199" t="str">
        <f>"47.800,00"</f>
        <v>47.800,00</v>
      </c>
    </row>
    <row r="1201" spans="1:5" x14ac:dyDescent="0.25">
      <c r="A1201" t="str">
        <f>"Poř.č.fak."</f>
        <v>Poř.č.fak.</v>
      </c>
      <c r="B1201" t="str">
        <f>"Dodavatel"</f>
        <v>Dodavatel</v>
      </c>
      <c r="C1201" t="str">
        <f>"IČO"</f>
        <v>IČO</v>
      </c>
    </row>
    <row r="1202" spans="1:5" x14ac:dyDescent="0.25">
      <c r="A1202" t="str">
        <f>"Došla"</f>
        <v>Došla</v>
      </c>
      <c r="B1202" t="str">
        <f>"Splatná"</f>
        <v>Splatná</v>
      </c>
      <c r="C1202" t="str">
        <f>"Zaplacená"</f>
        <v>Zaplacená</v>
      </c>
      <c r="D1202" t="str">
        <f>"Fakt.částka"</f>
        <v>Fakt.částka</v>
      </c>
      <c r="E1202" t="str">
        <f>"Celk.zaplaceno"</f>
        <v>Celk.zaplaceno</v>
      </c>
    </row>
    <row r="1203" spans="1:5" x14ac:dyDescent="0.25">
      <c r="B1203" t="str">
        <f>"Poznámka"</f>
        <v>Poznámka</v>
      </c>
    </row>
    <row r="1204" spans="1:5" x14ac:dyDescent="0.25">
      <c r="A1204" t="str">
        <f>"**********"</f>
        <v>**********</v>
      </c>
      <c r="B1204" t="str">
        <f>"**************************"</f>
        <v>**************************</v>
      </c>
      <c r="C1204" t="str">
        <f>"***********"</f>
        <v>***********</v>
      </c>
      <c r="D1204" t="str">
        <f>"***************"</f>
        <v>***************</v>
      </c>
      <c r="E1204" t="str">
        <f>"***************"</f>
        <v>***************</v>
      </c>
    </row>
    <row r="1206" spans="1:5" x14ac:dyDescent="0.25">
      <c r="A1206" t="str">
        <f>"281"</f>
        <v>281</v>
      </c>
      <c r="B1206" t="str">
        <f>"BENZINA ,s.r.o. Praha 4"</f>
        <v>BENZINA ,s.r.o. Praha 4</v>
      </c>
      <c r="C1206" t="str">
        <f>"60193328"</f>
        <v>60193328</v>
      </c>
    </row>
    <row r="1207" spans="1:5" x14ac:dyDescent="0.25">
      <c r="A1207" t="str">
        <f>"05.05.2011"</f>
        <v>05.05.2011</v>
      </c>
      <c r="B1207" t="str">
        <f>"05.05.2011"</f>
        <v>05.05.2011</v>
      </c>
      <c r="C1207" t="str">
        <f>"05.05.2011"</f>
        <v>05.05.2011</v>
      </c>
      <c r="D1207" t="str">
        <f>"11.757,23"</f>
        <v>11.757,23</v>
      </c>
      <c r="E1207" t="str">
        <f>"11.757,23"</f>
        <v>11.757,23</v>
      </c>
    </row>
    <row r="1210" spans="1:5" x14ac:dyDescent="0.25">
      <c r="A1210" t="str">
        <f>"282"</f>
        <v>282</v>
      </c>
      <c r="B1210" t="str">
        <f>"Hajný-T s.r.o."</f>
        <v>Hajný-T s.r.o.</v>
      </c>
      <c r="C1210" t="str">
        <f>"63886839"</f>
        <v>63886839</v>
      </c>
    </row>
    <row r="1211" spans="1:5" x14ac:dyDescent="0.25">
      <c r="A1211" t="str">
        <f>"05.05.2011"</f>
        <v>05.05.2011</v>
      </c>
      <c r="B1211" t="str">
        <f>"16.05.2011"</f>
        <v>16.05.2011</v>
      </c>
      <c r="C1211" t="str">
        <f>"13.05.2011"</f>
        <v>13.05.2011</v>
      </c>
      <c r="D1211" t="str">
        <f>"2.000,00"</f>
        <v>2.000,00</v>
      </c>
      <c r="E1211" t="str">
        <f>"2.000,00"</f>
        <v>2.000,00</v>
      </c>
    </row>
    <row r="1214" spans="1:5" x14ac:dyDescent="0.25">
      <c r="A1214" t="str">
        <f>"283"</f>
        <v>283</v>
      </c>
      <c r="B1214" t="str">
        <f>"Hajný-T s.r.o."</f>
        <v>Hajný-T s.r.o.</v>
      </c>
      <c r="C1214" t="str">
        <f>"63886839"</f>
        <v>63886839</v>
      </c>
    </row>
    <row r="1215" spans="1:5" x14ac:dyDescent="0.25">
      <c r="A1215" t="str">
        <f>"05.05.2011"</f>
        <v>05.05.2011</v>
      </c>
      <c r="B1215" t="str">
        <f>"16.05.2011"</f>
        <v>16.05.2011</v>
      </c>
      <c r="C1215" t="str">
        <f>"13.05.2011"</f>
        <v>13.05.2011</v>
      </c>
      <c r="D1215" t="str">
        <f>"3.909,00"</f>
        <v>3.909,00</v>
      </c>
      <c r="E1215" t="str">
        <f>"3.909,00"</f>
        <v>3.909,00</v>
      </c>
    </row>
    <row r="1218" spans="1:5" x14ac:dyDescent="0.25">
      <c r="A1218" t="str">
        <f>"284"</f>
        <v>284</v>
      </c>
      <c r="B1218" t="str">
        <f>"Martin Henych  Liberec"</f>
        <v>Martin Henych  Liberec</v>
      </c>
      <c r="C1218" t="str">
        <f>"87751054"</f>
        <v>87751054</v>
      </c>
    </row>
    <row r="1219" spans="1:5" x14ac:dyDescent="0.25">
      <c r="A1219" t="str">
        <f>"05.05.2011"</f>
        <v>05.05.2011</v>
      </c>
      <c r="B1219" t="str">
        <f>"24.05.2011"</f>
        <v>24.05.2011</v>
      </c>
      <c r="C1219" t="str">
        <f>"19.05.2011"</f>
        <v>19.05.2011</v>
      </c>
      <c r="D1219" t="str">
        <f>"800,00"</f>
        <v>800,00</v>
      </c>
      <c r="E1219" t="str">
        <f>"800,00"</f>
        <v>800,00</v>
      </c>
    </row>
    <row r="1222" spans="1:5" x14ac:dyDescent="0.25">
      <c r="A1222" t="str">
        <f>"285"</f>
        <v>285</v>
      </c>
      <c r="B1222" t="str">
        <f>"Správa města Soběslavi"</f>
        <v>Správa města Soběslavi</v>
      </c>
      <c r="C1222" t="str">
        <f>"26029987"</f>
        <v>26029987</v>
      </c>
    </row>
    <row r="1223" spans="1:5" x14ac:dyDescent="0.25">
      <c r="A1223" t="str">
        <f>"05.05.2011"</f>
        <v>05.05.2011</v>
      </c>
      <c r="B1223" t="str">
        <f>"18.05.2011"</f>
        <v>18.05.2011</v>
      </c>
      <c r="C1223" t="str">
        <f>"16.05.2011"</f>
        <v>16.05.2011</v>
      </c>
      <c r="D1223" t="str">
        <f>"10.307,00"</f>
        <v>10.307,00</v>
      </c>
      <c r="E1223" t="str">
        <f>"10.307,00"</f>
        <v>10.307,00</v>
      </c>
    </row>
    <row r="1226" spans="1:5" x14ac:dyDescent="0.25">
      <c r="A1226" t="str">
        <f>"286"</f>
        <v>286</v>
      </c>
      <c r="B1226" t="str">
        <f>"Česká pošta, s.p. Praha"</f>
        <v>Česká pošta, s.p. Praha</v>
      </c>
      <c r="C1226" t="str">
        <f>"47114983"</f>
        <v>47114983</v>
      </c>
    </row>
    <row r="1227" spans="1:5" x14ac:dyDescent="0.25">
      <c r="A1227" t="str">
        <f>"05.05.2011"</f>
        <v>05.05.2011</v>
      </c>
      <c r="B1227" t="str">
        <f>"17.05.2011"</f>
        <v>17.05.2011</v>
      </c>
      <c r="C1227" t="str">
        <f>"13.05.2011"</f>
        <v>13.05.2011</v>
      </c>
      <c r="D1227" t="str">
        <f>"396,00"</f>
        <v>396,00</v>
      </c>
      <c r="E1227" t="str">
        <f>"396,00"</f>
        <v>396,00</v>
      </c>
    </row>
    <row r="1230" spans="1:5" x14ac:dyDescent="0.25">
      <c r="A1230" t="str">
        <f>"287"</f>
        <v>287</v>
      </c>
      <c r="B1230" t="str">
        <f>"Česká pošta, s.p. Praha"</f>
        <v>Česká pošta, s.p. Praha</v>
      </c>
      <c r="C1230" t="str">
        <f>"47114983"</f>
        <v>47114983</v>
      </c>
    </row>
    <row r="1231" spans="1:5" x14ac:dyDescent="0.25">
      <c r="A1231" t="str">
        <f>"05.05.2011"</f>
        <v>05.05.2011</v>
      </c>
      <c r="B1231" t="str">
        <f>"17.05.2011"</f>
        <v>17.05.2011</v>
      </c>
      <c r="C1231" t="str">
        <f>"13.05.2011"</f>
        <v>13.05.2011</v>
      </c>
      <c r="D1231" t="str">
        <f>"278,40"</f>
        <v>278,40</v>
      </c>
      <c r="E1231" t="str">
        <f>"278,40"</f>
        <v>278,40</v>
      </c>
    </row>
    <row r="1234" spans="1:5" x14ac:dyDescent="0.25">
      <c r="A1234" t="str">
        <f>"288"</f>
        <v>288</v>
      </c>
      <c r="B1234" t="str">
        <f>"ASAP s.r.o. Věž"</f>
        <v>ASAP s.r.o. Věž</v>
      </c>
      <c r="C1234" t="str">
        <f>"45535183"</f>
        <v>45535183</v>
      </c>
    </row>
    <row r="1235" spans="1:5" x14ac:dyDescent="0.25">
      <c r="A1235" t="str">
        <f>"05.05.2011"</f>
        <v>05.05.2011</v>
      </c>
      <c r="B1235" t="str">
        <f>"17.05.2011"</f>
        <v>17.05.2011</v>
      </c>
      <c r="C1235" t="str">
        <f>"13.05.2011"</f>
        <v>13.05.2011</v>
      </c>
      <c r="D1235" t="str">
        <f>"135,00"</f>
        <v>135,00</v>
      </c>
      <c r="E1235" t="str">
        <f>"135,00"</f>
        <v>135,00</v>
      </c>
    </row>
    <row r="1238" spans="1:5" x14ac:dyDescent="0.25">
      <c r="A1238" t="str">
        <f>"289"</f>
        <v>289</v>
      </c>
      <c r="B1238" t="str">
        <f>"Sodexo Pass ČR a.s. Praha"</f>
        <v>Sodexo Pass ČR a.s. Praha</v>
      </c>
      <c r="C1238" t="str">
        <f>"61860476"</f>
        <v>61860476</v>
      </c>
    </row>
    <row r="1239" spans="1:5" x14ac:dyDescent="0.25">
      <c r="A1239" t="str">
        <f>"05.05.2011"</f>
        <v>05.05.2011</v>
      </c>
      <c r="B1239" t="str">
        <f>"17.05.2011"</f>
        <v>17.05.2011</v>
      </c>
      <c r="C1239" t="str">
        <f>"13.05.2011"</f>
        <v>13.05.2011</v>
      </c>
      <c r="D1239" t="str">
        <f>"60.204,00"</f>
        <v>60.204,00</v>
      </c>
      <c r="E1239" t="str">
        <f>"60.204,00"</f>
        <v>60.204,00</v>
      </c>
    </row>
    <row r="1242" spans="1:5" x14ac:dyDescent="0.25">
      <c r="A1242" t="str">
        <f>"290"</f>
        <v>290</v>
      </c>
      <c r="B1242" t="str">
        <f>"RUMPOLD s.r.o. Tábor"</f>
        <v>RUMPOLD s.r.o. Tábor</v>
      </c>
      <c r="C1242" t="str">
        <f>"61459364"</f>
        <v>61459364</v>
      </c>
    </row>
    <row r="1243" spans="1:5" x14ac:dyDescent="0.25">
      <c r="A1243" t="str">
        <f>"06.05.2011"</f>
        <v>06.05.2011</v>
      </c>
      <c r="B1243" t="str">
        <f>"30.05.2011"</f>
        <v>30.05.2011</v>
      </c>
      <c r="C1243" t="str">
        <f>"26.05.2011"</f>
        <v>26.05.2011</v>
      </c>
      <c r="D1243" t="str">
        <f>"9.715,00"</f>
        <v>9.715,00</v>
      </c>
      <c r="E1243" t="str">
        <f>"9.715,00"</f>
        <v>9.715,00</v>
      </c>
    </row>
    <row r="1246" spans="1:5" x14ac:dyDescent="0.25">
      <c r="A1246" t="str">
        <f>"291"</f>
        <v>291</v>
      </c>
      <c r="B1246" t="str">
        <f>"RUMPOLD s.r.o. Tábor"</f>
        <v>RUMPOLD s.r.o. Tábor</v>
      </c>
      <c r="C1246" t="str">
        <f>"61459364"</f>
        <v>61459364</v>
      </c>
    </row>
    <row r="1247" spans="1:5" x14ac:dyDescent="0.25">
      <c r="A1247" t="str">
        <f>"06.05.2011"</f>
        <v>06.05.2011</v>
      </c>
      <c r="B1247" t="str">
        <f>"30.05.2011"</f>
        <v>30.05.2011</v>
      </c>
      <c r="C1247" t="str">
        <f>"26.05.2011"</f>
        <v>26.05.2011</v>
      </c>
      <c r="D1247" t="str">
        <f>"8.008,00"</f>
        <v>8.008,00</v>
      </c>
      <c r="E1247" t="str">
        <f>"8.008,00"</f>
        <v>8.008,00</v>
      </c>
    </row>
    <row r="1250" spans="1:5" x14ac:dyDescent="0.25">
      <c r="A1250" t="str">
        <f>"292"</f>
        <v>292</v>
      </c>
      <c r="B1250" t="str">
        <f>"GEOVAP s.r.o. Pardubice"</f>
        <v>GEOVAP s.r.o. Pardubice</v>
      </c>
      <c r="C1250" t="str">
        <f>"15049248"</f>
        <v>15049248</v>
      </c>
    </row>
    <row r="1251" spans="1:5" x14ac:dyDescent="0.25">
      <c r="A1251" t="str">
        <f>"06.05.2011"</f>
        <v>06.05.2011</v>
      </c>
      <c r="B1251" t="str">
        <f>"19.05.2011"</f>
        <v>19.05.2011</v>
      </c>
      <c r="C1251" t="str">
        <f>"17.05.2011"</f>
        <v>17.05.2011</v>
      </c>
      <c r="D1251" t="str">
        <f>"5.010,00"</f>
        <v>5.010,00</v>
      </c>
      <c r="E1251" t="str">
        <f>"5.010,00"</f>
        <v>5.010,00</v>
      </c>
    </row>
    <row r="1254" spans="1:5" x14ac:dyDescent="0.25">
      <c r="A1254" t="str">
        <f>"293"</f>
        <v>293</v>
      </c>
      <c r="B1254" t="str">
        <f>"GEOVAP s.r.o. Pardubice"</f>
        <v>GEOVAP s.r.o. Pardubice</v>
      </c>
      <c r="C1254" t="str">
        <f>"15049248"</f>
        <v>15049248</v>
      </c>
    </row>
    <row r="1255" spans="1:5" x14ac:dyDescent="0.25">
      <c r="A1255" t="str">
        <f>"06.05.2011"</f>
        <v>06.05.2011</v>
      </c>
      <c r="B1255" t="str">
        <f>"19.05.2011"</f>
        <v>19.05.2011</v>
      </c>
      <c r="C1255" t="str">
        <f>"17.05.2011"</f>
        <v>17.05.2011</v>
      </c>
      <c r="D1255" t="str">
        <f>"2.000,00"</f>
        <v>2.000,00</v>
      </c>
      <c r="E1255" t="str">
        <f>"2.000,00"</f>
        <v>2.000,00</v>
      </c>
    </row>
    <row r="1258" spans="1:5" x14ac:dyDescent="0.25">
      <c r="A1258" t="str">
        <f>"294"</f>
        <v>294</v>
      </c>
      <c r="B1258" t="str">
        <f>"Česká pošta ,s.p. Praha 1"</f>
        <v>Česká pošta ,s.p. Praha 1</v>
      </c>
      <c r="C1258" t="str">
        <f>"47114983"</f>
        <v>47114983</v>
      </c>
    </row>
    <row r="1259" spans="1:5" x14ac:dyDescent="0.25">
      <c r="A1259" t="str">
        <f>"06.05.2011"</f>
        <v>06.05.2011</v>
      </c>
      <c r="B1259" t="str">
        <f>"18.05.2011"</f>
        <v>18.05.2011</v>
      </c>
      <c r="C1259" t="str">
        <f>"16.05.2011"</f>
        <v>16.05.2011</v>
      </c>
      <c r="D1259" t="str">
        <f>"39.024,00"</f>
        <v>39.024,00</v>
      </c>
      <c r="E1259" t="str">
        <f>"39.024,00"</f>
        <v>39.024,00</v>
      </c>
    </row>
    <row r="1261" spans="1:5" x14ac:dyDescent="0.25">
      <c r="A1261" t="str">
        <f>"Poř.č.fak."</f>
        <v>Poř.č.fak.</v>
      </c>
      <c r="B1261" t="str">
        <f>"Dodavatel"</f>
        <v>Dodavatel</v>
      </c>
      <c r="C1261" t="str">
        <f>"IČO"</f>
        <v>IČO</v>
      </c>
    </row>
    <row r="1262" spans="1:5" x14ac:dyDescent="0.25">
      <c r="A1262" t="str">
        <f>"Došla"</f>
        <v>Došla</v>
      </c>
      <c r="B1262" t="str">
        <f>"Splatná"</f>
        <v>Splatná</v>
      </c>
      <c r="C1262" t="str">
        <f>"Zaplacená"</f>
        <v>Zaplacená</v>
      </c>
      <c r="D1262" t="str">
        <f>"Fakt.částka"</f>
        <v>Fakt.částka</v>
      </c>
      <c r="E1262" t="str">
        <f>"Celk.zaplaceno"</f>
        <v>Celk.zaplaceno</v>
      </c>
    </row>
    <row r="1263" spans="1:5" x14ac:dyDescent="0.25">
      <c r="B1263" t="str">
        <f>"Poznámka"</f>
        <v>Poznámka</v>
      </c>
    </row>
    <row r="1264" spans="1:5" x14ac:dyDescent="0.25">
      <c r="A1264" t="str">
        <f>"**********"</f>
        <v>**********</v>
      </c>
      <c r="B1264" t="str">
        <f>"**************************"</f>
        <v>**************************</v>
      </c>
      <c r="C1264" t="str">
        <f>"***********"</f>
        <v>***********</v>
      </c>
      <c r="D1264" t="str">
        <f>"***************"</f>
        <v>***************</v>
      </c>
      <c r="E1264" t="str">
        <f>"***************"</f>
        <v>***************</v>
      </c>
    </row>
    <row r="1266" spans="1:5" x14ac:dyDescent="0.25">
      <c r="A1266" t="str">
        <f>"295"</f>
        <v>295</v>
      </c>
      <c r="B1266" t="str">
        <f>"Soreta Group a.s. Tábor"</f>
        <v>Soreta Group a.s. Tábor</v>
      </c>
      <c r="C1266" t="str">
        <f>"26065941"</f>
        <v>26065941</v>
      </c>
    </row>
    <row r="1267" spans="1:5" x14ac:dyDescent="0.25">
      <c r="A1267" t="str">
        <f>"06.05.2011"</f>
        <v>06.05.2011</v>
      </c>
      <c r="B1267" t="str">
        <f>"19.05.2011"</f>
        <v>19.05.2011</v>
      </c>
      <c r="C1267" t="str">
        <f>"17.05.2011"</f>
        <v>17.05.2011</v>
      </c>
      <c r="D1267" t="str">
        <f>"46.488,00"</f>
        <v>46.488,00</v>
      </c>
      <c r="E1267" t="str">
        <f>"46.488,00"</f>
        <v>46.488,00</v>
      </c>
    </row>
    <row r="1270" spans="1:5" x14ac:dyDescent="0.25">
      <c r="A1270" t="str">
        <f>"296"</f>
        <v>296</v>
      </c>
      <c r="B1270" t="str">
        <f>"Bohemia Asfalt, s.r.o."</f>
        <v>Bohemia Asfalt, s.r.o.</v>
      </c>
      <c r="C1270" t="str">
        <f>"25186183"</f>
        <v>25186183</v>
      </c>
    </row>
    <row r="1271" spans="1:5" x14ac:dyDescent="0.25">
      <c r="A1271" t="str">
        <f>"09.05.2011"</f>
        <v>09.05.2011</v>
      </c>
      <c r="B1271" t="str">
        <f>"14.05.2011"</f>
        <v>14.05.2011</v>
      </c>
      <c r="C1271" t="str">
        <f>"13.05.2011"</f>
        <v>13.05.2011</v>
      </c>
      <c r="D1271" t="str">
        <f>"4.320,00"</f>
        <v>4.320,00</v>
      </c>
      <c r="E1271" t="str">
        <f>"4.320,00"</f>
        <v>4.320,00</v>
      </c>
    </row>
    <row r="1274" spans="1:5" x14ac:dyDescent="0.25">
      <c r="A1274" t="str">
        <f>"297"</f>
        <v>297</v>
      </c>
      <c r="B1274" t="str">
        <f>"STRABAG a.s. Soběslav"</f>
        <v>STRABAG a.s. Soběslav</v>
      </c>
      <c r="C1274" t="str">
        <f>"60838744"</f>
        <v>60838744</v>
      </c>
    </row>
    <row r="1275" spans="1:5" x14ac:dyDescent="0.25">
      <c r="A1275" t="str">
        <f>"09.05.2011"</f>
        <v>09.05.2011</v>
      </c>
      <c r="B1275" t="str">
        <f>"08.07.2011"</f>
        <v>08.07.2011</v>
      </c>
      <c r="C1275" t="str">
        <f>"28.06.2011"</f>
        <v>28.06.2011</v>
      </c>
      <c r="D1275" t="str">
        <f>"482.897,20"</f>
        <v>482.897,20</v>
      </c>
      <c r="E1275" t="str">
        <f>"482.897,20"</f>
        <v>482.897,20</v>
      </c>
    </row>
    <row r="1278" spans="1:5" x14ac:dyDescent="0.25">
      <c r="A1278" t="str">
        <f>"298"</f>
        <v>298</v>
      </c>
      <c r="B1278" t="str">
        <f>"Kanadské sruby Tábor"</f>
        <v>Kanadské sruby Tábor</v>
      </c>
      <c r="C1278" t="str">
        <f>"28108078"</f>
        <v>28108078</v>
      </c>
    </row>
    <row r="1279" spans="1:5" x14ac:dyDescent="0.25">
      <c r="A1279" t="str">
        <f>"09.05.2011"</f>
        <v>09.05.2011</v>
      </c>
      <c r="B1279" t="str">
        <f>"18.05.2011"</f>
        <v>18.05.2011</v>
      </c>
      <c r="C1279" t="str">
        <f>"18.05.2011"</f>
        <v>18.05.2011</v>
      </c>
      <c r="D1279" t="str">
        <f>"368.681,00"</f>
        <v>368.681,00</v>
      </c>
      <c r="E1279" t="str">
        <f>"368.681,00"</f>
        <v>368.681,00</v>
      </c>
    </row>
    <row r="1282" spans="1:5" x14ac:dyDescent="0.25">
      <c r="A1282" t="str">
        <f>"299"</f>
        <v>299</v>
      </c>
      <c r="B1282" t="str">
        <f>"Povodí Vltavy s.p. Praha"</f>
        <v>Povodí Vltavy s.p. Praha</v>
      </c>
      <c r="C1282" t="str">
        <f>"70889953"</f>
        <v>70889953</v>
      </c>
    </row>
    <row r="1283" spans="1:5" x14ac:dyDescent="0.25">
      <c r="A1283" t="str">
        <f>"09.05.2011"</f>
        <v>09.05.2011</v>
      </c>
      <c r="B1283" t="str">
        <f>"19.05.2011"</f>
        <v>19.05.2011</v>
      </c>
      <c r="C1283" t="str">
        <f>"17.05.2011"</f>
        <v>17.05.2011</v>
      </c>
      <c r="D1283" t="str">
        <f>"12.000,00"</f>
        <v>12.000,00</v>
      </c>
      <c r="E1283" t="str">
        <f>"12.000,00"</f>
        <v>12.000,00</v>
      </c>
    </row>
    <row r="1286" spans="1:5" x14ac:dyDescent="0.25">
      <c r="A1286" t="str">
        <f>"300"</f>
        <v>300</v>
      </c>
      <c r="B1286" t="str">
        <f>"GIGACOMPUTER Č.B."</f>
        <v>GIGACOMPUTER Č.B.</v>
      </c>
      <c r="C1286" t="str">
        <f>"28080289"</f>
        <v>28080289</v>
      </c>
    </row>
    <row r="1287" spans="1:5" x14ac:dyDescent="0.25">
      <c r="A1287" t="str">
        <f>"09.05.2011"</f>
        <v>09.05.2011</v>
      </c>
      <c r="B1287" t="str">
        <f>"20.05.2011"</f>
        <v>20.05.2011</v>
      </c>
      <c r="C1287" t="str">
        <f>"19.05.2011"</f>
        <v>19.05.2011</v>
      </c>
      <c r="D1287" t="str">
        <f>"17.508,00"</f>
        <v>17.508,00</v>
      </c>
      <c r="E1287" t="str">
        <f>"17.508,00"</f>
        <v>17.508,00</v>
      </c>
    </row>
    <row r="1290" spans="1:5" x14ac:dyDescent="0.25">
      <c r="A1290" t="str">
        <f>"301"</f>
        <v>301</v>
      </c>
      <c r="B1290" t="str">
        <f>"Telefónica 02 CR a.s."</f>
        <v>Telefónica 02 CR a.s.</v>
      </c>
      <c r="C1290" t="str">
        <f>"60193336"</f>
        <v>60193336</v>
      </c>
    </row>
    <row r="1291" spans="1:5" x14ac:dyDescent="0.25">
      <c r="A1291" t="str">
        <f>"09.05.2011"</f>
        <v>09.05.2011</v>
      </c>
      <c r="B1291" t="str">
        <f>"18.05.2011"</f>
        <v>18.05.2011</v>
      </c>
      <c r="C1291" t="str">
        <f>"16.05.2011"</f>
        <v>16.05.2011</v>
      </c>
      <c r="D1291" t="str">
        <f>"1.340,50"</f>
        <v>1.340,50</v>
      </c>
      <c r="E1291" t="str">
        <f>"1.340,50"</f>
        <v>1.340,50</v>
      </c>
    </row>
    <row r="1294" spans="1:5" x14ac:dyDescent="0.25">
      <c r="A1294" t="str">
        <f>"302"</f>
        <v>302</v>
      </c>
      <c r="B1294" t="str">
        <f>"Telefónica 02 CR a.s."</f>
        <v>Telefónica 02 CR a.s.</v>
      </c>
      <c r="C1294" t="str">
        <f>"60193336"</f>
        <v>60193336</v>
      </c>
    </row>
    <row r="1295" spans="1:5" x14ac:dyDescent="0.25">
      <c r="A1295" t="str">
        <f>"09.05.2011"</f>
        <v>09.05.2011</v>
      </c>
      <c r="B1295" t="str">
        <f>"18.05.2011"</f>
        <v>18.05.2011</v>
      </c>
      <c r="C1295" t="str">
        <f>"16.05.2011"</f>
        <v>16.05.2011</v>
      </c>
      <c r="D1295" t="str">
        <f>"4.472,83"</f>
        <v>4.472,83</v>
      </c>
      <c r="E1295" t="str">
        <f>"4.472,83"</f>
        <v>4.472,83</v>
      </c>
    </row>
    <row r="1298" spans="1:5" x14ac:dyDescent="0.25">
      <c r="A1298" t="str">
        <f>"303"</f>
        <v>303</v>
      </c>
      <c r="B1298" t="str">
        <f>"Správa města Soběslavi"</f>
        <v>Správa města Soběslavi</v>
      </c>
      <c r="C1298" t="str">
        <f>"26029987"</f>
        <v>26029987</v>
      </c>
    </row>
    <row r="1299" spans="1:5" x14ac:dyDescent="0.25">
      <c r="A1299" t="str">
        <f>"09.05.2011"</f>
        <v>09.05.2011</v>
      </c>
      <c r="B1299" t="str">
        <f>"23.05.2011"</f>
        <v>23.05.2011</v>
      </c>
      <c r="C1299" t="str">
        <f>"19.05.2011"</f>
        <v>19.05.2011</v>
      </c>
      <c r="D1299" t="str">
        <f>"940.000,00"</f>
        <v>940.000,00</v>
      </c>
      <c r="E1299" t="str">
        <f>"940.000,00"</f>
        <v>940.000,00</v>
      </c>
    </row>
    <row r="1302" spans="1:5" x14ac:dyDescent="0.25">
      <c r="A1302" t="str">
        <f>"304"</f>
        <v>304</v>
      </c>
      <c r="B1302" t="str">
        <f>"Česká pošta ,s.p. Praha 1"</f>
        <v>Česká pošta ,s.p. Praha 1</v>
      </c>
      <c r="C1302" t="str">
        <f>"47114983"</f>
        <v>47114983</v>
      </c>
    </row>
    <row r="1303" spans="1:5" x14ac:dyDescent="0.25">
      <c r="A1303" t="str">
        <f>"09.05.2011"</f>
        <v>09.05.2011</v>
      </c>
      <c r="B1303" t="str">
        <f>"19.05.2011"</f>
        <v>19.05.2011</v>
      </c>
      <c r="C1303" t="str">
        <f>"17.05.2011"</f>
        <v>17.05.2011</v>
      </c>
      <c r="D1303" t="str">
        <f>"384,00"</f>
        <v>384,00</v>
      </c>
      <c r="E1303" t="str">
        <f>"384,00"</f>
        <v>384,00</v>
      </c>
    </row>
    <row r="1306" spans="1:5" x14ac:dyDescent="0.25">
      <c r="A1306" t="str">
        <f>"305"</f>
        <v>305</v>
      </c>
      <c r="B1306" t="str">
        <f>"Telefónica 02 CR a.s."</f>
        <v>Telefónica 02 CR a.s.</v>
      </c>
      <c r="C1306" t="str">
        <f>"60193336"</f>
        <v>60193336</v>
      </c>
    </row>
    <row r="1307" spans="1:5" x14ac:dyDescent="0.25">
      <c r="A1307" t="str">
        <f>"09.05.2011"</f>
        <v>09.05.2011</v>
      </c>
      <c r="B1307" t="str">
        <f>"18.05.2011"</f>
        <v>18.05.2011</v>
      </c>
      <c r="C1307" t="str">
        <f>"16.05.2011"</f>
        <v>16.05.2011</v>
      </c>
      <c r="D1307" t="str">
        <f>"1,20"</f>
        <v>1,20</v>
      </c>
      <c r="E1307" t="str">
        <f>"1,20"</f>
        <v>1,20</v>
      </c>
    </row>
    <row r="1310" spans="1:5" x14ac:dyDescent="0.25">
      <c r="A1310" t="str">
        <f>"306"</f>
        <v>306</v>
      </c>
      <c r="B1310" t="str">
        <f>"Telefónica 02 CR, a.s."</f>
        <v>Telefónica 02 CR, a.s.</v>
      </c>
      <c r="C1310" t="str">
        <f>"60193336"</f>
        <v>60193336</v>
      </c>
    </row>
    <row r="1311" spans="1:5" x14ac:dyDescent="0.25">
      <c r="A1311" t="str">
        <f>"09.05.2011"</f>
        <v>09.05.2011</v>
      </c>
      <c r="B1311" t="str">
        <f>"16.05.2011"</f>
        <v>16.05.2011</v>
      </c>
      <c r="C1311" t="str">
        <f>"16.05.2011"</f>
        <v>16.05.2011</v>
      </c>
      <c r="D1311" t="str">
        <f>"24.439,73"</f>
        <v>24.439,73</v>
      </c>
      <c r="E1311" t="str">
        <f>"24.439,73"</f>
        <v>24.439,73</v>
      </c>
    </row>
    <row r="1314" spans="1:5" x14ac:dyDescent="0.25">
      <c r="A1314" t="str">
        <f>"307"</f>
        <v>307</v>
      </c>
      <c r="B1314" t="str">
        <f>"GIGACOMPUTER Č.B."</f>
        <v>GIGACOMPUTER Č.B.</v>
      </c>
      <c r="C1314" t="str">
        <f>"28080289"</f>
        <v>28080289</v>
      </c>
    </row>
    <row r="1315" spans="1:5" x14ac:dyDescent="0.25">
      <c r="A1315" t="str">
        <f>"09.05.2011"</f>
        <v>09.05.2011</v>
      </c>
      <c r="B1315" t="str">
        <f>"20.05.2011"</f>
        <v>20.05.2011</v>
      </c>
      <c r="C1315" t="str">
        <f>"19.05.2011"</f>
        <v>19.05.2011</v>
      </c>
      <c r="D1315" t="str">
        <f>"6.000,00"</f>
        <v>6.000,00</v>
      </c>
      <c r="E1315" t="str">
        <f>"6.000,00"</f>
        <v>6.000,00</v>
      </c>
    </row>
    <row r="1318" spans="1:5" x14ac:dyDescent="0.25">
      <c r="A1318" t="str">
        <f>"308"</f>
        <v>308</v>
      </c>
      <c r="B1318" t="str">
        <f>"Ředitelství silnic a dáln"</f>
        <v>Ředitelství silnic a dáln</v>
      </c>
      <c r="C1318" t="str">
        <f>"65993390"</f>
        <v>65993390</v>
      </c>
    </row>
    <row r="1319" spans="1:5" x14ac:dyDescent="0.25">
      <c r="A1319" t="str">
        <f>"10.05.2011"</f>
        <v>10.05.2011</v>
      </c>
      <c r="B1319" t="str">
        <f>"30.05.2011"</f>
        <v>30.05.2011</v>
      </c>
      <c r="C1319" t="str">
        <f>"26.05.2011"</f>
        <v>26.05.2011</v>
      </c>
      <c r="D1319" t="str">
        <f>"29.172,00"</f>
        <v>29.172,00</v>
      </c>
      <c r="E1319" t="str">
        <f>"29.172,00"</f>
        <v>29.172,00</v>
      </c>
    </row>
    <row r="1321" spans="1:5" x14ac:dyDescent="0.25">
      <c r="A1321" t="str">
        <f>"Poř.č.fak."</f>
        <v>Poř.č.fak.</v>
      </c>
      <c r="B1321" t="str">
        <f>"Dodavatel"</f>
        <v>Dodavatel</v>
      </c>
      <c r="C1321" t="str">
        <f>"IČO"</f>
        <v>IČO</v>
      </c>
    </row>
    <row r="1322" spans="1:5" x14ac:dyDescent="0.25">
      <c r="A1322" t="str">
        <f>"Došla"</f>
        <v>Došla</v>
      </c>
      <c r="B1322" t="str">
        <f>"Splatná"</f>
        <v>Splatná</v>
      </c>
      <c r="C1322" t="str">
        <f>"Zaplacená"</f>
        <v>Zaplacená</v>
      </c>
      <c r="D1322" t="str">
        <f>"Fakt.částka"</f>
        <v>Fakt.částka</v>
      </c>
      <c r="E1322" t="str">
        <f>"Celk.zaplaceno"</f>
        <v>Celk.zaplaceno</v>
      </c>
    </row>
    <row r="1323" spans="1:5" x14ac:dyDescent="0.25">
      <c r="B1323" t="str">
        <f>"Poznámka"</f>
        <v>Poznámka</v>
      </c>
    </row>
    <row r="1324" spans="1:5" x14ac:dyDescent="0.25">
      <c r="A1324" t="str">
        <f>"**********"</f>
        <v>**********</v>
      </c>
      <c r="B1324" t="str">
        <f>"**************************"</f>
        <v>**************************</v>
      </c>
      <c r="C1324" t="str">
        <f>"***********"</f>
        <v>***********</v>
      </c>
      <c r="D1324" t="str">
        <f>"***************"</f>
        <v>***************</v>
      </c>
      <c r="E1324" t="str">
        <f>"***************"</f>
        <v>***************</v>
      </c>
    </row>
    <row r="1326" spans="1:5" x14ac:dyDescent="0.25">
      <c r="A1326" t="str">
        <f>"309"</f>
        <v>309</v>
      </c>
      <c r="B1326" t="str">
        <f>"Autoservis Jindra s.r.o."</f>
        <v>Autoservis Jindra s.r.o.</v>
      </c>
      <c r="C1326" t="str">
        <f>"63277956"</f>
        <v>63277956</v>
      </c>
    </row>
    <row r="1327" spans="1:5" x14ac:dyDescent="0.25">
      <c r="A1327" t="str">
        <f>"10.05.2011"</f>
        <v>10.05.2011</v>
      </c>
      <c r="B1327" t="str">
        <f>"19.05.2011"</f>
        <v>19.05.2011</v>
      </c>
      <c r="C1327" t="str">
        <f>"17.05.2011"</f>
        <v>17.05.2011</v>
      </c>
      <c r="D1327" t="str">
        <f>"3.739,00"</f>
        <v>3.739,00</v>
      </c>
      <c r="E1327" t="str">
        <f>"3.739,00"</f>
        <v>3.739,00</v>
      </c>
    </row>
    <row r="1330" spans="1:5" x14ac:dyDescent="0.25">
      <c r="A1330" t="str">
        <f>"310"</f>
        <v>310</v>
      </c>
      <c r="B1330" t="str">
        <f>"KONICA MINOLTA s.r.o."</f>
        <v>KONICA MINOLTA s.r.o.</v>
      </c>
      <c r="C1330" t="str">
        <f>"00176150"</f>
        <v>00176150</v>
      </c>
    </row>
    <row r="1331" spans="1:5" x14ac:dyDescent="0.25">
      <c r="A1331" t="str">
        <f>"10.05.2011"</f>
        <v>10.05.2011</v>
      </c>
      <c r="B1331" t="str">
        <f>"16.05.2011"</f>
        <v>16.05.2011</v>
      </c>
      <c r="C1331" t="str">
        <f>"16.05.2011"</f>
        <v>16.05.2011</v>
      </c>
      <c r="D1331" t="str">
        <f>"361,10"</f>
        <v>361,10</v>
      </c>
      <c r="E1331" t="str">
        <f>"361,10"</f>
        <v>361,10</v>
      </c>
    </row>
    <row r="1334" spans="1:5" x14ac:dyDescent="0.25">
      <c r="A1334" t="str">
        <f>"311"</f>
        <v>311</v>
      </c>
      <c r="B1334" t="str">
        <f>"KONICA MINOLTA s.r.o."</f>
        <v>KONICA MINOLTA s.r.o.</v>
      </c>
      <c r="C1334" t="str">
        <f>"00176150"</f>
        <v>00176150</v>
      </c>
    </row>
    <row r="1335" spans="1:5" x14ac:dyDescent="0.25">
      <c r="A1335" t="str">
        <f>"10.05.2011"</f>
        <v>10.05.2011</v>
      </c>
      <c r="B1335" t="str">
        <f>"16.05.2011"</f>
        <v>16.05.2011</v>
      </c>
      <c r="C1335" t="str">
        <f>"16.05.2011"</f>
        <v>16.05.2011</v>
      </c>
      <c r="D1335" t="str">
        <f>"1.716,00"</f>
        <v>1.716,00</v>
      </c>
      <c r="E1335" t="str">
        <f>"1.716,00"</f>
        <v>1.716,00</v>
      </c>
    </row>
    <row r="1338" spans="1:5" x14ac:dyDescent="0.25">
      <c r="A1338" t="str">
        <f>"312"</f>
        <v>312</v>
      </c>
      <c r="B1338" t="str">
        <f>"KONICA MINOLTA s.r.o."</f>
        <v>KONICA MINOLTA s.r.o.</v>
      </c>
      <c r="C1338" t="str">
        <f>"00176150"</f>
        <v>00176150</v>
      </c>
    </row>
    <row r="1339" spans="1:5" x14ac:dyDescent="0.25">
      <c r="A1339" t="str">
        <f>"10.05.2011"</f>
        <v>10.05.2011</v>
      </c>
      <c r="B1339" t="str">
        <f>"16.05.2011"</f>
        <v>16.05.2011</v>
      </c>
      <c r="C1339" t="str">
        <f>"16.05.2011"</f>
        <v>16.05.2011</v>
      </c>
      <c r="D1339" t="str">
        <f>"3.552,00"</f>
        <v>3.552,00</v>
      </c>
      <c r="E1339" t="str">
        <f>"3.552,00"</f>
        <v>3.552,00</v>
      </c>
    </row>
    <row r="1342" spans="1:5" x14ac:dyDescent="0.25">
      <c r="A1342" t="str">
        <f>"313"</f>
        <v>313</v>
      </c>
      <c r="B1342" t="str">
        <f>"TJ SPARTAK Soběslav"</f>
        <v>TJ SPARTAK Soběslav</v>
      </c>
      <c r="C1342" t="str">
        <f>"46632191"</f>
        <v>46632191</v>
      </c>
    </row>
    <row r="1343" spans="1:5" x14ac:dyDescent="0.25">
      <c r="A1343" t="str">
        <f>"10.05.2011"</f>
        <v>10.05.2011</v>
      </c>
      <c r="B1343" t="str">
        <f>"19.05.2011"</f>
        <v>19.05.2011</v>
      </c>
      <c r="C1343" t="str">
        <f>"17.05.2011"</f>
        <v>17.05.2011</v>
      </c>
      <c r="D1343" t="str">
        <f>"1.898,00"</f>
        <v>1.898,00</v>
      </c>
      <c r="E1343" t="str">
        <f>"1.898,00"</f>
        <v>1.898,00</v>
      </c>
    </row>
    <row r="1346" spans="1:5" x14ac:dyDescent="0.25">
      <c r="A1346" t="str">
        <f>"314"</f>
        <v>314</v>
      </c>
      <c r="B1346" t="str">
        <f>"Telefónica 02 CR, a.s."</f>
        <v>Telefónica 02 CR, a.s.</v>
      </c>
      <c r="C1346" t="str">
        <f>"60193336"</f>
        <v>60193336</v>
      </c>
    </row>
    <row r="1347" spans="1:5" x14ac:dyDescent="0.25">
      <c r="A1347" t="str">
        <f>"10.05.2011"</f>
        <v>10.05.2011</v>
      </c>
      <c r="B1347" t="str">
        <f>"19.05.2011"</f>
        <v>19.05.2011</v>
      </c>
      <c r="C1347" t="str">
        <f>"17.05.2011"</f>
        <v>17.05.2011</v>
      </c>
      <c r="D1347" t="str">
        <f>"14,72"</f>
        <v>14,72</v>
      </c>
      <c r="E1347" t="str">
        <f>"14,72"</f>
        <v>14,72</v>
      </c>
    </row>
    <row r="1350" spans="1:5" x14ac:dyDescent="0.25">
      <c r="A1350" t="str">
        <f>"315"</f>
        <v>315</v>
      </c>
      <c r="B1350" t="str">
        <f>"Česká pošta, s.p. Praha"</f>
        <v>Česká pošta, s.p. Praha</v>
      </c>
      <c r="C1350" t="str">
        <f>"47114983"</f>
        <v>47114983</v>
      </c>
    </row>
    <row r="1351" spans="1:5" x14ac:dyDescent="0.25">
      <c r="A1351" t="str">
        <f>"11.05.2011"</f>
        <v>11.05.2011</v>
      </c>
      <c r="B1351" t="str">
        <f>"24.05.2011"</f>
        <v>24.05.2011</v>
      </c>
      <c r="C1351" t="str">
        <f>"19.05.2011"</f>
        <v>19.05.2011</v>
      </c>
      <c r="D1351" t="str">
        <f>"792,00"</f>
        <v>792,00</v>
      </c>
      <c r="E1351" t="str">
        <f>"792,00"</f>
        <v>792,00</v>
      </c>
    </row>
    <row r="1354" spans="1:5" x14ac:dyDescent="0.25">
      <c r="A1354" t="str">
        <f>"316"</f>
        <v>316</v>
      </c>
      <c r="B1354" t="str">
        <f>"Česká pošta, s.p. Praha"</f>
        <v>Česká pošta, s.p. Praha</v>
      </c>
      <c r="C1354" t="str">
        <f>"47114983"</f>
        <v>47114983</v>
      </c>
    </row>
    <row r="1355" spans="1:5" x14ac:dyDescent="0.25">
      <c r="A1355" t="str">
        <f>"11.05.2011"</f>
        <v>11.05.2011</v>
      </c>
      <c r="B1355" t="str">
        <f>"24.05.2011"</f>
        <v>24.05.2011</v>
      </c>
      <c r="C1355" t="str">
        <f>"19.05.2011"</f>
        <v>19.05.2011</v>
      </c>
      <c r="D1355" t="str">
        <f>"708,00"</f>
        <v>708,00</v>
      </c>
      <c r="E1355" t="str">
        <f>"708,00"</f>
        <v>708,00</v>
      </c>
    </row>
    <row r="1358" spans="1:5" x14ac:dyDescent="0.25">
      <c r="A1358" t="str">
        <f>"317"</f>
        <v>317</v>
      </c>
      <c r="B1358" t="str">
        <f>"Autoservis Jindra s.r.o."</f>
        <v>Autoservis Jindra s.r.o.</v>
      </c>
      <c r="C1358" t="str">
        <f>"63277956"</f>
        <v>63277956</v>
      </c>
    </row>
    <row r="1359" spans="1:5" x14ac:dyDescent="0.25">
      <c r="A1359" t="str">
        <f>"11.05.2011"</f>
        <v>11.05.2011</v>
      </c>
      <c r="B1359" t="str">
        <f>"20.05.2011"</f>
        <v>20.05.2011</v>
      </c>
      <c r="C1359" t="str">
        <f>"19.05.2011"</f>
        <v>19.05.2011</v>
      </c>
      <c r="D1359" t="str">
        <f>"5.792,00"</f>
        <v>5.792,00</v>
      </c>
      <c r="E1359" t="str">
        <f>"5.792,00"</f>
        <v>5.792,00</v>
      </c>
    </row>
    <row r="1362" spans="1:5" x14ac:dyDescent="0.25">
      <c r="A1362" t="str">
        <f>"318"</f>
        <v>318</v>
      </c>
      <c r="B1362" t="str">
        <f>"Turistické známky s.r.o."</f>
        <v>Turistické známky s.r.o.</v>
      </c>
      <c r="C1362" t="str">
        <f>"25824449"</f>
        <v>25824449</v>
      </c>
    </row>
    <row r="1363" spans="1:5" x14ac:dyDescent="0.25">
      <c r="A1363" t="str">
        <f>"12.05.2011"</f>
        <v>12.05.2011</v>
      </c>
      <c r="B1363" t="str">
        <f>"23.05.2011"</f>
        <v>23.05.2011</v>
      </c>
      <c r="C1363" t="str">
        <f>"19.05.2011"</f>
        <v>19.05.2011</v>
      </c>
      <c r="D1363" t="str">
        <f>"4.260,00"</f>
        <v>4.260,00</v>
      </c>
      <c r="E1363" t="str">
        <f>"4.260,00"</f>
        <v>4.260,00</v>
      </c>
    </row>
    <row r="1366" spans="1:5" x14ac:dyDescent="0.25">
      <c r="A1366" t="str">
        <f>"319"</f>
        <v>319</v>
      </c>
      <c r="B1366" t="str">
        <f>"ACTIVA s.r.o. Praha 9"</f>
        <v>ACTIVA s.r.o. Praha 9</v>
      </c>
      <c r="C1366" t="str">
        <f>"48111198"</f>
        <v>48111198</v>
      </c>
    </row>
    <row r="1367" spans="1:5" x14ac:dyDescent="0.25">
      <c r="A1367" t="str">
        <f>"16.05.2011"</f>
        <v>16.05.2011</v>
      </c>
      <c r="B1367" t="str">
        <f>"27.05.2011"</f>
        <v>27.05.2011</v>
      </c>
      <c r="C1367" t="str">
        <f>"25.05.2011"</f>
        <v>25.05.2011</v>
      </c>
      <c r="D1367" t="str">
        <f>"4.424,00"</f>
        <v>4.424,00</v>
      </c>
      <c r="E1367" t="str">
        <f>"4.424,00"</f>
        <v>4.424,00</v>
      </c>
    </row>
    <row r="1370" spans="1:5" x14ac:dyDescent="0.25">
      <c r="A1370" t="str">
        <f>"320"</f>
        <v>320</v>
      </c>
      <c r="B1370" t="str">
        <f>"Chališ Tábor"</f>
        <v>Chališ Tábor</v>
      </c>
      <c r="C1370" t="str">
        <f>"42360412"</f>
        <v>42360412</v>
      </c>
    </row>
    <row r="1371" spans="1:5" x14ac:dyDescent="0.25">
      <c r="A1371" t="str">
        <f>"16.05.2011"</f>
        <v>16.05.2011</v>
      </c>
      <c r="B1371" t="str">
        <f>"08.06.2011"</f>
        <v>08.06.2011</v>
      </c>
      <c r="C1371" t="str">
        <f>"18.05.2011"</f>
        <v>18.05.2011</v>
      </c>
      <c r="D1371" t="str">
        <f>"0,40"</f>
        <v>0,40</v>
      </c>
      <c r="E1371" t="str">
        <f>"0,40"</f>
        <v>0,40</v>
      </c>
    </row>
    <row r="1374" spans="1:5" x14ac:dyDescent="0.25">
      <c r="A1374" t="str">
        <f>"321"</f>
        <v>321</v>
      </c>
      <c r="B1374" t="str">
        <f>"Institut pro místní správ"</f>
        <v>Institut pro místní správ</v>
      </c>
      <c r="C1374" t="str">
        <f>"70890293"</f>
        <v>70890293</v>
      </c>
    </row>
    <row r="1375" spans="1:5" x14ac:dyDescent="0.25">
      <c r="A1375" t="str">
        <f>"19.05.2011"</f>
        <v>19.05.2011</v>
      </c>
      <c r="B1375" t="str">
        <f>"19.05.2011"</f>
        <v>19.05.2011</v>
      </c>
      <c r="C1375" t="str">
        <f>"19.05.2011"</f>
        <v>19.05.2011</v>
      </c>
      <c r="D1375" t="str">
        <f>"2.970,00"</f>
        <v>2.970,00</v>
      </c>
      <c r="E1375" t="str">
        <f>"2.970,00"</f>
        <v>2.970,00</v>
      </c>
    </row>
    <row r="1378" spans="1:5" x14ac:dyDescent="0.25">
      <c r="A1378" t="str">
        <f>"322"</f>
        <v>322</v>
      </c>
      <c r="B1378" t="str">
        <f>"Telefónica 02 CR a.s."</f>
        <v>Telefónica 02 CR a.s.</v>
      </c>
      <c r="C1378" t="str">
        <f>"60193336"</f>
        <v>60193336</v>
      </c>
    </row>
    <row r="1379" spans="1:5" x14ac:dyDescent="0.25">
      <c r="A1379" t="str">
        <f>"16.05.2011"</f>
        <v>16.05.2011</v>
      </c>
      <c r="B1379" t="str">
        <f>"18.05.2011"</f>
        <v>18.05.2011</v>
      </c>
      <c r="C1379" t="str">
        <f>"18.05.2011"</f>
        <v>18.05.2011</v>
      </c>
      <c r="D1379" t="str">
        <f>"-734,10"</f>
        <v>-734,10</v>
      </c>
      <c r="E1379" t="str">
        <f>"-734,10"</f>
        <v>-734,10</v>
      </c>
    </row>
    <row r="1381" spans="1:5" x14ac:dyDescent="0.25">
      <c r="A1381" t="str">
        <f>"Poř.č.fak."</f>
        <v>Poř.č.fak.</v>
      </c>
      <c r="B1381" t="str">
        <f>"Dodavatel"</f>
        <v>Dodavatel</v>
      </c>
      <c r="C1381" t="str">
        <f>"IČO"</f>
        <v>IČO</v>
      </c>
    </row>
    <row r="1382" spans="1:5" x14ac:dyDescent="0.25">
      <c r="A1382" t="str">
        <f>"Došla"</f>
        <v>Došla</v>
      </c>
      <c r="B1382" t="str">
        <f>"Splatná"</f>
        <v>Splatná</v>
      </c>
      <c r="C1382" t="str">
        <f>"Zaplacená"</f>
        <v>Zaplacená</v>
      </c>
      <c r="D1382" t="str">
        <f>"Fakt.částka"</f>
        <v>Fakt.částka</v>
      </c>
      <c r="E1382" t="str">
        <f>"Celk.zaplaceno"</f>
        <v>Celk.zaplaceno</v>
      </c>
    </row>
    <row r="1383" spans="1:5" x14ac:dyDescent="0.25">
      <c r="B1383" t="str">
        <f>"Poznámka"</f>
        <v>Poznámka</v>
      </c>
    </row>
    <row r="1384" spans="1:5" x14ac:dyDescent="0.25">
      <c r="A1384" t="str">
        <f>"**********"</f>
        <v>**********</v>
      </c>
      <c r="B1384" t="str">
        <f>"**************************"</f>
        <v>**************************</v>
      </c>
      <c r="C1384" t="str">
        <f>"***********"</f>
        <v>***********</v>
      </c>
      <c r="D1384" t="str">
        <f>"***************"</f>
        <v>***************</v>
      </c>
      <c r="E1384" t="str">
        <f>"***************"</f>
        <v>***************</v>
      </c>
    </row>
    <row r="1386" spans="1:5" x14ac:dyDescent="0.25">
      <c r="A1386" t="str">
        <f>"323"</f>
        <v>323</v>
      </c>
      <c r="B1386" t="str">
        <f>"SOU technické Soběslav"</f>
        <v>SOU technické Soběslav</v>
      </c>
      <c r="C1386" t="str">
        <f>"14504057"</f>
        <v>14504057</v>
      </c>
    </row>
    <row r="1387" spans="1:5" x14ac:dyDescent="0.25">
      <c r="A1387" t="str">
        <f>"13.05.2011"</f>
        <v>13.05.2011</v>
      </c>
      <c r="B1387" t="str">
        <f>"25.05.2011"</f>
        <v>25.05.2011</v>
      </c>
      <c r="C1387" t="str">
        <f>"25.05.2011"</f>
        <v>25.05.2011</v>
      </c>
      <c r="D1387" t="str">
        <f>"17.080,00"</f>
        <v>17.080,00</v>
      </c>
      <c r="E1387" t="str">
        <f>"17.080,00"</f>
        <v>17.080,00</v>
      </c>
    </row>
    <row r="1390" spans="1:5" x14ac:dyDescent="0.25">
      <c r="A1390" t="str">
        <f>"324"</f>
        <v>324</v>
      </c>
      <c r="B1390" t="str">
        <f>"Petr Palán Vesce 46"</f>
        <v>Petr Palán Vesce 46</v>
      </c>
      <c r="C1390" t="str">
        <f>"45015171"</f>
        <v>45015171</v>
      </c>
    </row>
    <row r="1391" spans="1:5" x14ac:dyDescent="0.25">
      <c r="A1391" t="str">
        <f>"16.05.2011"</f>
        <v>16.05.2011</v>
      </c>
      <c r="B1391" t="str">
        <f>"21.05.2011"</f>
        <v>21.05.2011</v>
      </c>
      <c r="C1391" t="str">
        <f>"24.05.2011"</f>
        <v>24.05.2011</v>
      </c>
      <c r="D1391" t="str">
        <f>"1.060,00"</f>
        <v>1.060,00</v>
      </c>
      <c r="E1391" t="str">
        <f>"1.060,00"</f>
        <v>1.060,00</v>
      </c>
    </row>
    <row r="1394" spans="1:5" x14ac:dyDescent="0.25">
      <c r="A1394" t="str">
        <f>"325"</f>
        <v>325</v>
      </c>
      <c r="B1394" t="str">
        <f>"Správa města Soběslavi"</f>
        <v>Správa města Soběslavi</v>
      </c>
      <c r="C1394" t="str">
        <f>"26029987"</f>
        <v>26029987</v>
      </c>
    </row>
    <row r="1395" spans="1:5" x14ac:dyDescent="0.25">
      <c r="A1395" t="str">
        <f>"16.05.2011"</f>
        <v>16.05.2011</v>
      </c>
      <c r="B1395" t="str">
        <f>"24.05.2011"</f>
        <v>24.05.2011</v>
      </c>
      <c r="C1395" t="str">
        <f>"24.05.2011"</f>
        <v>24.05.2011</v>
      </c>
      <c r="D1395" t="str">
        <f>"1.256,00"</f>
        <v>1.256,00</v>
      </c>
      <c r="E1395" t="str">
        <f>"1.256,00"</f>
        <v>1.256,00</v>
      </c>
    </row>
    <row r="1398" spans="1:5" x14ac:dyDescent="0.25">
      <c r="A1398" t="str">
        <f>"326"</f>
        <v>326</v>
      </c>
      <c r="B1398" t="str">
        <f>"Elektro Novák Soběslav"</f>
        <v>Elektro Novák Soběslav</v>
      </c>
      <c r="C1398" t="str">
        <f>"25199935"</f>
        <v>25199935</v>
      </c>
    </row>
    <row r="1399" spans="1:5" x14ac:dyDescent="0.25">
      <c r="A1399" t="str">
        <f>"17.05.2011"</f>
        <v>17.05.2011</v>
      </c>
      <c r="B1399" t="str">
        <f>"26.05.2011"</f>
        <v>26.05.2011</v>
      </c>
      <c r="C1399" t="str">
        <f>"24.05.2011"</f>
        <v>24.05.2011</v>
      </c>
      <c r="D1399" t="str">
        <f>"11.816,00"</f>
        <v>11.816,00</v>
      </c>
      <c r="E1399" t="str">
        <f>"11.816,00"</f>
        <v>11.816,00</v>
      </c>
    </row>
    <row r="1402" spans="1:5" x14ac:dyDescent="0.25">
      <c r="A1402" t="str">
        <f>"327"</f>
        <v>327</v>
      </c>
      <c r="B1402" t="str">
        <f>"DCS Systems,s.r.o. Praha"</f>
        <v>DCS Systems,s.r.o. Praha</v>
      </c>
      <c r="C1402" t="str">
        <f>"26178842"</f>
        <v>26178842</v>
      </c>
    </row>
    <row r="1403" spans="1:5" x14ac:dyDescent="0.25">
      <c r="A1403" t="str">
        <f>"19.05.2011"</f>
        <v>19.05.2011</v>
      </c>
      <c r="B1403" t="str">
        <f>"26.05.2011"</f>
        <v>26.05.2011</v>
      </c>
      <c r="C1403" t="str">
        <f>"24.05.2011"</f>
        <v>24.05.2011</v>
      </c>
      <c r="D1403" t="str">
        <f>"1.080,00"</f>
        <v>1.080,00</v>
      </c>
      <c r="E1403" t="str">
        <f>"1.080,00"</f>
        <v>1.080,00</v>
      </c>
    </row>
    <row r="1406" spans="1:5" x14ac:dyDescent="0.25">
      <c r="A1406" t="str">
        <f>"328"</f>
        <v>328</v>
      </c>
      <c r="B1406" t="str">
        <f>"COPY SERVIS Tábor s.r.o."</f>
        <v>COPY SERVIS Tábor s.r.o.</v>
      </c>
      <c r="C1406" t="str">
        <f>"26066939"</f>
        <v>26066939</v>
      </c>
    </row>
    <row r="1407" spans="1:5" x14ac:dyDescent="0.25">
      <c r="A1407" t="str">
        <f>"19.05.2011"</f>
        <v>19.05.2011</v>
      </c>
      <c r="B1407" t="str">
        <f>"31.05.2011"</f>
        <v>31.05.2011</v>
      </c>
      <c r="C1407" t="str">
        <f>"26.05.2011"</f>
        <v>26.05.2011</v>
      </c>
      <c r="D1407" t="str">
        <f>"7.987,20"</f>
        <v>7.987,20</v>
      </c>
      <c r="E1407" t="str">
        <f>"7.987,20"</f>
        <v>7.987,20</v>
      </c>
    </row>
    <row r="1410" spans="1:5" x14ac:dyDescent="0.25">
      <c r="A1410" t="str">
        <f>"329"</f>
        <v>329</v>
      </c>
      <c r="B1410" t="str">
        <f>"Dimitrijevič Miloja Soběs"</f>
        <v>Dimitrijevič Miloja Soběs</v>
      </c>
      <c r="C1410" t="str">
        <f>"45017301"</f>
        <v>45017301</v>
      </c>
    </row>
    <row r="1411" spans="1:5" x14ac:dyDescent="0.25">
      <c r="A1411" t="str">
        <f>"20.05.2011"</f>
        <v>20.05.2011</v>
      </c>
      <c r="B1411" t="str">
        <f>"25.05.2011"</f>
        <v>25.05.2011</v>
      </c>
      <c r="C1411" t="str">
        <f>"24.05.2011"</f>
        <v>24.05.2011</v>
      </c>
      <c r="D1411" t="str">
        <f>"5.100,00"</f>
        <v>5.100,00</v>
      </c>
      <c r="E1411" t="str">
        <f>"5.100,00"</f>
        <v>5.100,00</v>
      </c>
    </row>
    <row r="1414" spans="1:5" x14ac:dyDescent="0.25">
      <c r="A1414" t="str">
        <f>"330"</f>
        <v>330</v>
      </c>
      <c r="B1414" t="str">
        <f>"Jiří Novák Soběslav"</f>
        <v>Jiří Novák Soběslav</v>
      </c>
      <c r="C1414" t="str">
        <f>"10321829"</f>
        <v>10321829</v>
      </c>
    </row>
    <row r="1415" spans="1:5" x14ac:dyDescent="0.25">
      <c r="A1415" t="str">
        <f>"20.05.2011"</f>
        <v>20.05.2011</v>
      </c>
      <c r="B1415" t="str">
        <f>"27.05.2011"</f>
        <v>27.05.2011</v>
      </c>
      <c r="C1415" t="str">
        <f>"25.05.2011"</f>
        <v>25.05.2011</v>
      </c>
      <c r="D1415" t="str">
        <f>"10.080,00"</f>
        <v>10.080,00</v>
      </c>
      <c r="E1415" t="str">
        <f>"10.080,00"</f>
        <v>10.080,00</v>
      </c>
    </row>
    <row r="1418" spans="1:5" x14ac:dyDescent="0.25">
      <c r="A1418" t="str">
        <f>"331"</f>
        <v>331</v>
      </c>
      <c r="B1418" t="str">
        <f>"Ing. Jiří Lagner  Soběsla"</f>
        <v>Ing. Jiří Lagner  Soběsla</v>
      </c>
      <c r="C1418" t="str">
        <f>"10326227"</f>
        <v>10326227</v>
      </c>
    </row>
    <row r="1419" spans="1:5" x14ac:dyDescent="0.25">
      <c r="A1419" t="str">
        <f>"20.05.2011"</f>
        <v>20.05.2011</v>
      </c>
      <c r="B1419" t="str">
        <f>"31.05.2011"</f>
        <v>31.05.2011</v>
      </c>
      <c r="C1419" t="str">
        <f>"26.05.2011"</f>
        <v>26.05.2011</v>
      </c>
      <c r="D1419" t="str">
        <f>"10.800,00"</f>
        <v>10.800,00</v>
      </c>
      <c r="E1419" t="str">
        <f>"10.800,00"</f>
        <v>10.800,00</v>
      </c>
    </row>
    <row r="1422" spans="1:5" x14ac:dyDescent="0.25">
      <c r="A1422" t="str">
        <f>"332"</f>
        <v>332</v>
      </c>
      <c r="B1422" t="str">
        <f>"Radek Bouška Vrážná"</f>
        <v>Radek Bouška Vrážná</v>
      </c>
      <c r="C1422" t="str">
        <f>"67157645"</f>
        <v>67157645</v>
      </c>
    </row>
    <row r="1423" spans="1:5" x14ac:dyDescent="0.25">
      <c r="A1423" t="str">
        <f>"20.05.2011"</f>
        <v>20.05.2011</v>
      </c>
      <c r="B1423" t="str">
        <f>"29.05.2011"</f>
        <v>29.05.2011</v>
      </c>
      <c r="C1423" t="str">
        <f>"25.05.2011"</f>
        <v>25.05.2011</v>
      </c>
      <c r="D1423" t="str">
        <f>"65.056,00"</f>
        <v>65.056,00</v>
      </c>
      <c r="E1423" t="str">
        <f>"65.056,00"</f>
        <v>65.056,00</v>
      </c>
    </row>
    <row r="1426" spans="1:5" x14ac:dyDescent="0.25">
      <c r="A1426" t="str">
        <f>"333"</f>
        <v>333</v>
      </c>
      <c r="B1426" t="str">
        <f>"ACTIVA s.r.o. Praha 9"</f>
        <v>ACTIVA s.r.o. Praha 9</v>
      </c>
      <c r="C1426" t="str">
        <f>"48111198"</f>
        <v>48111198</v>
      </c>
    </row>
    <row r="1427" spans="1:5" x14ac:dyDescent="0.25">
      <c r="A1427" t="str">
        <f>"23.05.2011"</f>
        <v>23.05.2011</v>
      </c>
      <c r="B1427" t="str">
        <f>"03.06.2011"</f>
        <v>03.06.2011</v>
      </c>
      <c r="C1427" t="str">
        <f>"01.06.2011"</f>
        <v>01.06.2011</v>
      </c>
      <c r="D1427" t="str">
        <f>"30.051,00"</f>
        <v>30.051,00</v>
      </c>
      <c r="E1427" t="str">
        <f>"30.051,00"</f>
        <v>30.051,00</v>
      </c>
    </row>
    <row r="1430" spans="1:5" x14ac:dyDescent="0.25">
      <c r="A1430" t="str">
        <f>"334"</f>
        <v>334</v>
      </c>
      <c r="B1430" t="str">
        <f>"INO s.r.o. Děčín"</f>
        <v>INO s.r.o. Děčín</v>
      </c>
      <c r="C1430" t="str">
        <f>"27263517"</f>
        <v>27263517</v>
      </c>
    </row>
    <row r="1431" spans="1:5" x14ac:dyDescent="0.25">
      <c r="A1431" t="str">
        <f>"20.05.2011"</f>
        <v>20.05.2011</v>
      </c>
      <c r="B1431" t="str">
        <f>"09.06.2011"</f>
        <v>09.06.2011</v>
      </c>
      <c r="C1431" t="str">
        <f>"01.06.2011"</f>
        <v>01.06.2011</v>
      </c>
      <c r="D1431" t="str">
        <f>"8.810,00"</f>
        <v>8.810,00</v>
      </c>
      <c r="E1431" t="str">
        <f>"8.810,00"</f>
        <v>8.810,00</v>
      </c>
    </row>
    <row r="1434" spans="1:5" x14ac:dyDescent="0.25">
      <c r="A1434" t="str">
        <f>"335"</f>
        <v>335</v>
      </c>
      <c r="B1434" t="str">
        <f>"CHIRONAX ESTRA s.r.o."</f>
        <v>CHIRONAX ESTRA s.r.o.</v>
      </c>
      <c r="C1434" t="str">
        <f>"49357409"</f>
        <v>49357409</v>
      </c>
    </row>
    <row r="1435" spans="1:5" x14ac:dyDescent="0.25">
      <c r="A1435" t="str">
        <f>"23.05.2011"</f>
        <v>23.05.2011</v>
      </c>
      <c r="B1435" t="str">
        <f>"31.05.2011"</f>
        <v>31.05.2011</v>
      </c>
      <c r="C1435" t="str">
        <f>"25.05.2011"</f>
        <v>25.05.2011</v>
      </c>
      <c r="D1435" t="str">
        <f>"13.008,00"</f>
        <v>13.008,00</v>
      </c>
      <c r="E1435" t="str">
        <f>"13.008,00"</f>
        <v>13.008,00</v>
      </c>
    </row>
    <row r="1438" spans="1:5" x14ac:dyDescent="0.25">
      <c r="A1438" t="str">
        <f>"336"</f>
        <v>336</v>
      </c>
      <c r="B1438" t="str">
        <f>"CHIRONAX ESTRA s.r.o."</f>
        <v>CHIRONAX ESTRA s.r.o.</v>
      </c>
      <c r="C1438" t="str">
        <f>"49357409"</f>
        <v>49357409</v>
      </c>
    </row>
    <row r="1439" spans="1:5" x14ac:dyDescent="0.25">
      <c r="A1439" t="str">
        <f>"23.05.2011"</f>
        <v>23.05.2011</v>
      </c>
      <c r="B1439" t="str">
        <f>"31.05.2011"</f>
        <v>31.05.2011</v>
      </c>
      <c r="C1439" t="str">
        <f>"25.05.2011"</f>
        <v>25.05.2011</v>
      </c>
      <c r="D1439" t="str">
        <f>"15.540,00"</f>
        <v>15.540,00</v>
      </c>
      <c r="E1439" t="str">
        <f>"15.540,00"</f>
        <v>15.540,00</v>
      </c>
    </row>
    <row r="1441" spans="1:5" x14ac:dyDescent="0.25">
      <c r="A1441" t="str">
        <f>"Poř.č.fak."</f>
        <v>Poř.č.fak.</v>
      </c>
      <c r="B1441" t="str">
        <f>"Dodavatel"</f>
        <v>Dodavatel</v>
      </c>
      <c r="C1441" t="str">
        <f>"IČO"</f>
        <v>IČO</v>
      </c>
    </row>
    <row r="1442" spans="1:5" x14ac:dyDescent="0.25">
      <c r="A1442" t="str">
        <f>"Došla"</f>
        <v>Došla</v>
      </c>
      <c r="B1442" t="str">
        <f>"Splatná"</f>
        <v>Splatná</v>
      </c>
      <c r="C1442" t="str">
        <f>"Zaplacená"</f>
        <v>Zaplacená</v>
      </c>
      <c r="D1442" t="str">
        <f>"Fakt.částka"</f>
        <v>Fakt.částka</v>
      </c>
      <c r="E1442" t="str">
        <f>"Celk.zaplaceno"</f>
        <v>Celk.zaplaceno</v>
      </c>
    </row>
    <row r="1443" spans="1:5" x14ac:dyDescent="0.25">
      <c r="B1443" t="str">
        <f>"Poznámka"</f>
        <v>Poznámka</v>
      </c>
    </row>
    <row r="1444" spans="1:5" x14ac:dyDescent="0.25">
      <c r="A1444" t="str">
        <f>"**********"</f>
        <v>**********</v>
      </c>
      <c r="B1444" t="str">
        <f>"**************************"</f>
        <v>**************************</v>
      </c>
      <c r="C1444" t="str">
        <f>"***********"</f>
        <v>***********</v>
      </c>
      <c r="D1444" t="str">
        <f>"***************"</f>
        <v>***************</v>
      </c>
      <c r="E1444" t="str">
        <f>"***************"</f>
        <v>***************</v>
      </c>
    </row>
    <row r="1446" spans="1:5" x14ac:dyDescent="0.25">
      <c r="A1446" t="str">
        <f>"337"</f>
        <v>337</v>
      </c>
      <c r="B1446" t="str">
        <f>"Správa města Soběslavi"</f>
        <v>Správa města Soběslavi</v>
      </c>
      <c r="C1446" t="str">
        <f>"26029987"</f>
        <v>26029987</v>
      </c>
    </row>
    <row r="1447" spans="1:5" x14ac:dyDescent="0.25">
      <c r="A1447" t="str">
        <f>"23.05.2011"</f>
        <v>23.05.2011</v>
      </c>
      <c r="B1447" t="str">
        <f>"06.06.2011"</f>
        <v>06.06.2011</v>
      </c>
      <c r="C1447" t="str">
        <f>"02.06.2011"</f>
        <v>02.06.2011</v>
      </c>
      <c r="D1447" t="str">
        <f>"5.376,00"</f>
        <v>5.376,00</v>
      </c>
      <c r="E1447" t="str">
        <f>"5.376,00"</f>
        <v>5.376,00</v>
      </c>
    </row>
    <row r="1450" spans="1:5" x14ac:dyDescent="0.25">
      <c r="A1450" t="str">
        <f>"338"</f>
        <v>338</v>
      </c>
      <c r="B1450" t="str">
        <f>"Správa města Soběslavi"</f>
        <v>Správa města Soběslavi</v>
      </c>
      <c r="C1450" t="str">
        <f>"26029987"</f>
        <v>26029987</v>
      </c>
    </row>
    <row r="1451" spans="1:5" x14ac:dyDescent="0.25">
      <c r="A1451" t="str">
        <f>"23.05.2011"</f>
        <v>23.05.2011</v>
      </c>
      <c r="B1451" t="str">
        <f>"06.06.2011"</f>
        <v>06.06.2011</v>
      </c>
      <c r="C1451" t="str">
        <f>"02.06.2011"</f>
        <v>02.06.2011</v>
      </c>
      <c r="D1451" t="str">
        <f>"29.407,00"</f>
        <v>29.407,00</v>
      </c>
      <c r="E1451" t="str">
        <f>"29.407,00"</f>
        <v>29.407,00</v>
      </c>
    </row>
    <row r="1454" spans="1:5" x14ac:dyDescent="0.25">
      <c r="A1454" t="str">
        <f>"339"</f>
        <v>339</v>
      </c>
      <c r="B1454" t="str">
        <f>"Lukáš Havlíček Soběslav"</f>
        <v>Lukáš Havlíček Soběslav</v>
      </c>
      <c r="C1454" t="str">
        <f>"74504738"</f>
        <v>74504738</v>
      </c>
    </row>
    <row r="1455" spans="1:5" x14ac:dyDescent="0.25">
      <c r="A1455" t="str">
        <f>"24.05.2011"</f>
        <v>24.05.2011</v>
      </c>
      <c r="B1455" t="str">
        <f>"27.05.2011"</f>
        <v>27.05.2011</v>
      </c>
      <c r="C1455" t="str">
        <f>"25.05.2011"</f>
        <v>25.05.2011</v>
      </c>
      <c r="D1455" t="str">
        <f>"30.000,00"</f>
        <v>30.000,00</v>
      </c>
      <c r="E1455" t="str">
        <f>"30.000,00"</f>
        <v>30.000,00</v>
      </c>
    </row>
    <row r="1458" spans="1:5" x14ac:dyDescent="0.25">
      <c r="A1458" t="str">
        <f>"340"</f>
        <v>340</v>
      </c>
      <c r="B1458" t="str">
        <f>"Václav Hrůza Praha"</f>
        <v>Václav Hrůza Praha</v>
      </c>
      <c r="C1458" t="str">
        <f>"510224114"</f>
        <v>510224114</v>
      </c>
    </row>
    <row r="1459" spans="1:5" x14ac:dyDescent="0.25">
      <c r="A1459" t="str">
        <f>"24.05.2011"</f>
        <v>24.05.2011</v>
      </c>
      <c r="B1459" t="str">
        <f>"07.06.2011"</f>
        <v>07.06.2011</v>
      </c>
      <c r="C1459" t="str">
        <f>"25.05.2011"</f>
        <v>25.05.2011</v>
      </c>
      <c r="D1459" t="str">
        <f>"40.000,00"</f>
        <v>40.000,00</v>
      </c>
      <c r="E1459" t="str">
        <f>"40.000,00"</f>
        <v>40.000,00</v>
      </c>
    </row>
    <row r="1462" spans="1:5" x14ac:dyDescent="0.25">
      <c r="A1462" t="str">
        <f>"341"</f>
        <v>341</v>
      </c>
      <c r="B1462" t="str">
        <f>"Ing.arch.Jaromír Kročák"</f>
        <v>Ing.arch.Jaromír Kročák</v>
      </c>
      <c r="C1462" t="str">
        <f>"10271911"</f>
        <v>10271911</v>
      </c>
    </row>
    <row r="1463" spans="1:5" x14ac:dyDescent="0.25">
      <c r="A1463" t="str">
        <f>"25.05.2011"</f>
        <v>25.05.2011</v>
      </c>
      <c r="B1463" t="str">
        <f>"07.06.2011"</f>
        <v>07.06.2011</v>
      </c>
      <c r="C1463" t="str">
        <f>"02.06.2011"</f>
        <v>02.06.2011</v>
      </c>
      <c r="D1463" t="str">
        <f>"15.480,00"</f>
        <v>15.480,00</v>
      </c>
      <c r="E1463" t="str">
        <f>"15.480,00"</f>
        <v>15.480,00</v>
      </c>
    </row>
    <row r="1466" spans="1:5" x14ac:dyDescent="0.25">
      <c r="A1466" t="str">
        <f>"342"</f>
        <v>342</v>
      </c>
      <c r="B1466" t="str">
        <f>"KONICA MINOLTA s.r.o."</f>
        <v>KONICA MINOLTA s.r.o.</v>
      </c>
      <c r="C1466" t="str">
        <f>"00176150"</f>
        <v>00176150</v>
      </c>
    </row>
    <row r="1467" spans="1:5" x14ac:dyDescent="0.25">
      <c r="A1467" t="str">
        <f>"26.05.2011"</f>
        <v>26.05.2011</v>
      </c>
      <c r="B1467" t="str">
        <f>"01.06.2011"</f>
        <v>01.06.2011</v>
      </c>
      <c r="C1467" t="str">
        <f>"01.06.2011"</f>
        <v>01.06.2011</v>
      </c>
      <c r="D1467" t="str">
        <f>"3.908,90"</f>
        <v>3.908,90</v>
      </c>
      <c r="E1467" t="str">
        <f>"3.908,90"</f>
        <v>3.908,90</v>
      </c>
    </row>
    <row r="1470" spans="1:5" x14ac:dyDescent="0.25">
      <c r="A1470" t="str">
        <f>"343"</f>
        <v>343</v>
      </c>
      <c r="B1470" t="str">
        <f>"RANGER s.r.o.  Sez. Ústí"</f>
        <v>RANGER s.r.o.  Sez. Ústí</v>
      </c>
      <c r="C1470" t="str">
        <f>"25162489"</f>
        <v>25162489</v>
      </c>
    </row>
    <row r="1471" spans="1:5" x14ac:dyDescent="0.25">
      <c r="A1471" t="str">
        <f>"26.05.2011"</f>
        <v>26.05.2011</v>
      </c>
      <c r="B1471" t="str">
        <f>"04.06.2011"</f>
        <v>04.06.2011</v>
      </c>
      <c r="C1471" t="str">
        <f>"01.06.2011"</f>
        <v>01.06.2011</v>
      </c>
      <c r="D1471" t="str">
        <f>"2.675,00"</f>
        <v>2.675,00</v>
      </c>
      <c r="E1471" t="str">
        <f>"2.675,00"</f>
        <v>2.675,00</v>
      </c>
    </row>
    <row r="1474" spans="1:5" x14ac:dyDescent="0.25">
      <c r="A1474" t="str">
        <f>"344"</f>
        <v>344</v>
      </c>
      <c r="B1474" t="str">
        <f>"Ing. Fiala Boh. Soběslav"</f>
        <v>Ing. Fiala Boh. Soběslav</v>
      </c>
      <c r="C1474" t="str">
        <f>"15781038"</f>
        <v>15781038</v>
      </c>
    </row>
    <row r="1475" spans="1:5" x14ac:dyDescent="0.25">
      <c r="A1475" t="str">
        <f>"26.05.2011"</f>
        <v>26.05.2011</v>
      </c>
      <c r="B1475" t="str">
        <f>"08.06.2011"</f>
        <v>08.06.2011</v>
      </c>
      <c r="C1475" t="str">
        <f>"02.06.2011"</f>
        <v>02.06.2011</v>
      </c>
      <c r="D1475" t="str">
        <f>"3.000,00"</f>
        <v>3.000,00</v>
      </c>
      <c r="E1475" t="str">
        <f>"3.000,00"</f>
        <v>3.000,00</v>
      </c>
    </row>
    <row r="1478" spans="1:5" x14ac:dyDescent="0.25">
      <c r="A1478" t="str">
        <f>"345"</f>
        <v>345</v>
      </c>
      <c r="B1478" t="str">
        <f>"ANAG,s.r.o. Olomouc"</f>
        <v>ANAG,s.r.o. Olomouc</v>
      </c>
      <c r="C1478" t="str">
        <f>"25354671"</f>
        <v>25354671</v>
      </c>
    </row>
    <row r="1479" spans="1:5" x14ac:dyDescent="0.25">
      <c r="A1479" t="str">
        <f>"27.05.2011"</f>
        <v>27.05.2011</v>
      </c>
      <c r="B1479" t="str">
        <f>"09.06.2011"</f>
        <v>09.06.2011</v>
      </c>
      <c r="C1479" t="str">
        <f>"03.06.2011"</f>
        <v>03.06.2011</v>
      </c>
      <c r="D1479" t="str">
        <f>"359,00"</f>
        <v>359,00</v>
      </c>
      <c r="E1479" t="str">
        <f>"359,00"</f>
        <v>359,00</v>
      </c>
    </row>
    <row r="1482" spans="1:5" x14ac:dyDescent="0.25">
      <c r="A1482" t="str">
        <f>"346"</f>
        <v>346</v>
      </c>
      <c r="B1482" t="str">
        <f>"FRAJT PRO s.r.o. Kroměříž"</f>
        <v>FRAJT PRO s.r.o. Kroměříž</v>
      </c>
      <c r="C1482" t="str">
        <f>"26934841"</f>
        <v>26934841</v>
      </c>
    </row>
    <row r="1483" spans="1:5" x14ac:dyDescent="0.25">
      <c r="A1483" t="str">
        <f>"27.05.2011"</f>
        <v>27.05.2011</v>
      </c>
      <c r="B1483" t="str">
        <f>"09.06.2011"</f>
        <v>09.06.2011</v>
      </c>
      <c r="C1483" t="str">
        <f>"03.06.2011"</f>
        <v>03.06.2011</v>
      </c>
      <c r="D1483" t="str">
        <f>"11.640,00"</f>
        <v>11.640,00</v>
      </c>
      <c r="E1483" t="str">
        <f>"11.640,00"</f>
        <v>11.640,00</v>
      </c>
    </row>
    <row r="1486" spans="1:5" x14ac:dyDescent="0.25">
      <c r="A1486" t="str">
        <f>"347"</f>
        <v>347</v>
      </c>
      <c r="B1486" t="str">
        <f>"Jiří Mládek Myslkovice"</f>
        <v>Jiří Mládek Myslkovice</v>
      </c>
      <c r="C1486" t="str">
        <f>"68541589"</f>
        <v>68541589</v>
      </c>
    </row>
    <row r="1487" spans="1:5" x14ac:dyDescent="0.25">
      <c r="A1487" t="str">
        <f>"27.05.2011"</f>
        <v>27.05.2011</v>
      </c>
      <c r="B1487" t="str">
        <f>"10.06.2011"</f>
        <v>10.06.2011</v>
      </c>
      <c r="C1487" t="str">
        <f>"07.06.2011"</f>
        <v>07.06.2011</v>
      </c>
      <c r="D1487" t="str">
        <f>"960,00"</f>
        <v>960,00</v>
      </c>
      <c r="E1487" t="str">
        <f>"960,00"</f>
        <v>960,00</v>
      </c>
    </row>
    <row r="1490" spans="1:5" x14ac:dyDescent="0.25">
      <c r="A1490" t="str">
        <f>"348"</f>
        <v>348</v>
      </c>
      <c r="B1490" t="str">
        <f>"Jiří Mládek Myslkovice"</f>
        <v>Jiří Mládek Myslkovice</v>
      </c>
      <c r="C1490" t="str">
        <f>"68541589"</f>
        <v>68541589</v>
      </c>
    </row>
    <row r="1491" spans="1:5" x14ac:dyDescent="0.25">
      <c r="A1491" t="str">
        <f>"27.05.2011"</f>
        <v>27.05.2011</v>
      </c>
      <c r="B1491" t="str">
        <f>"10.06.2011"</f>
        <v>10.06.2011</v>
      </c>
      <c r="C1491" t="str">
        <f>"07.06.2011"</f>
        <v>07.06.2011</v>
      </c>
      <c r="D1491" t="str">
        <f>"12.358,00"</f>
        <v>12.358,00</v>
      </c>
      <c r="E1491" t="str">
        <f>"12.358,00"</f>
        <v>12.358,00</v>
      </c>
    </row>
    <row r="1494" spans="1:5" x14ac:dyDescent="0.25">
      <c r="A1494" t="str">
        <f>"349"</f>
        <v>349</v>
      </c>
      <c r="B1494" t="str">
        <f>"Jiří Polák Tábor"</f>
        <v>Jiří Polák Tábor</v>
      </c>
      <c r="C1494" t="str">
        <f>"74560425"</f>
        <v>74560425</v>
      </c>
    </row>
    <row r="1495" spans="1:5" x14ac:dyDescent="0.25">
      <c r="A1495" t="str">
        <f>"27.05.2011"</f>
        <v>27.05.2011</v>
      </c>
      <c r="B1495" t="str">
        <f>"08.06.2011"</f>
        <v>08.06.2011</v>
      </c>
      <c r="C1495" t="str">
        <f>"02.06.2011"</f>
        <v>02.06.2011</v>
      </c>
      <c r="D1495" t="str">
        <f>"6.155,00"</f>
        <v>6.155,00</v>
      </c>
      <c r="E1495" t="str">
        <f>"6.155,00"</f>
        <v>6.155,00</v>
      </c>
    </row>
    <row r="1498" spans="1:5" x14ac:dyDescent="0.25">
      <c r="A1498" t="str">
        <f>"350"</f>
        <v>350</v>
      </c>
      <c r="B1498" t="str">
        <f>"T.O.D.O.K. s.r.o.Soběslav"</f>
        <v>T.O.D.O.K. s.r.o.Soběslav</v>
      </c>
      <c r="C1498" t="str">
        <f>"48201936"</f>
        <v>48201936</v>
      </c>
    </row>
    <row r="1499" spans="1:5" x14ac:dyDescent="0.25">
      <c r="A1499" t="str">
        <f>"27.05.2011"</f>
        <v>27.05.2011</v>
      </c>
      <c r="B1499" t="str">
        <f>"05.06.2011"</f>
        <v>05.06.2011</v>
      </c>
      <c r="C1499" t="str">
        <f>"03.06.2011"</f>
        <v>03.06.2011</v>
      </c>
      <c r="D1499" t="str">
        <f>"110.000,00"</f>
        <v>110.000,00</v>
      </c>
      <c r="E1499" t="str">
        <f>"110.000,00"</f>
        <v>110.000,00</v>
      </c>
    </row>
    <row r="1501" spans="1:5" x14ac:dyDescent="0.25">
      <c r="A1501" t="str">
        <f>"Poř.č.fak."</f>
        <v>Poř.č.fak.</v>
      </c>
      <c r="B1501" t="str">
        <f>"Dodavatel"</f>
        <v>Dodavatel</v>
      </c>
      <c r="C1501" t="str">
        <f>"IČO"</f>
        <v>IČO</v>
      </c>
    </row>
    <row r="1502" spans="1:5" x14ac:dyDescent="0.25">
      <c r="A1502" t="str">
        <f>"Došla"</f>
        <v>Došla</v>
      </c>
      <c r="B1502" t="str">
        <f>"Splatná"</f>
        <v>Splatná</v>
      </c>
      <c r="C1502" t="str">
        <f>"Zaplacená"</f>
        <v>Zaplacená</v>
      </c>
      <c r="D1502" t="str">
        <f>"Fakt.částka"</f>
        <v>Fakt.částka</v>
      </c>
      <c r="E1502" t="str">
        <f>"Celk.zaplaceno"</f>
        <v>Celk.zaplaceno</v>
      </c>
    </row>
    <row r="1503" spans="1:5" x14ac:dyDescent="0.25">
      <c r="B1503" t="str">
        <f>"Poznámka"</f>
        <v>Poznámka</v>
      </c>
    </row>
    <row r="1504" spans="1:5" x14ac:dyDescent="0.25">
      <c r="A1504" t="str">
        <f>"**********"</f>
        <v>**********</v>
      </c>
      <c r="B1504" t="str">
        <f>"**************************"</f>
        <v>**************************</v>
      </c>
      <c r="C1504" t="str">
        <f>"***********"</f>
        <v>***********</v>
      </c>
      <c r="D1504" t="str">
        <f>"***************"</f>
        <v>***************</v>
      </c>
      <c r="E1504" t="str">
        <f>"***************"</f>
        <v>***************</v>
      </c>
    </row>
    <row r="1506" spans="1:5" x14ac:dyDescent="0.25">
      <c r="A1506" t="str">
        <f>"351"</f>
        <v>351</v>
      </c>
      <c r="B1506" t="str">
        <f>"Správa města Soběslavi"</f>
        <v>Správa města Soběslavi</v>
      </c>
      <c r="C1506" t="str">
        <f>"26029987"</f>
        <v>26029987</v>
      </c>
    </row>
    <row r="1507" spans="1:5" x14ac:dyDescent="0.25">
      <c r="A1507" t="str">
        <f>"30.05.2011"</f>
        <v>30.05.2011</v>
      </c>
      <c r="B1507" t="str">
        <f>"13.06.2011"</f>
        <v>13.06.2011</v>
      </c>
      <c r="C1507" t="str">
        <f>"07.06.2011"</f>
        <v>07.06.2011</v>
      </c>
      <c r="D1507" t="str">
        <f>"767,00"</f>
        <v>767,00</v>
      </c>
      <c r="E1507" t="str">
        <f>"767,00"</f>
        <v>767,00</v>
      </c>
    </row>
    <row r="1510" spans="1:5" x14ac:dyDescent="0.25">
      <c r="A1510" t="str">
        <f>"352"</f>
        <v>352</v>
      </c>
      <c r="B1510" t="str">
        <f>"SOMARO CZ,s.r.o. Praha"</f>
        <v>SOMARO CZ,s.r.o. Praha</v>
      </c>
      <c r="C1510" t="str">
        <f>"27066070"</f>
        <v>27066070</v>
      </c>
    </row>
    <row r="1511" spans="1:5" x14ac:dyDescent="0.25">
      <c r="A1511" t="str">
        <f>"30.05.2011"</f>
        <v>30.05.2011</v>
      </c>
      <c r="B1511" t="str">
        <f>"08.06.2011"</f>
        <v>08.06.2011</v>
      </c>
      <c r="C1511" t="str">
        <f>"03.06.2011"</f>
        <v>03.06.2011</v>
      </c>
      <c r="D1511" t="str">
        <f>"3.792,00"</f>
        <v>3.792,00</v>
      </c>
      <c r="E1511" t="str">
        <f>"3.792,00"</f>
        <v>3.792,00</v>
      </c>
    </row>
    <row r="1514" spans="1:5" x14ac:dyDescent="0.25">
      <c r="A1514" t="str">
        <f>"353"</f>
        <v>353</v>
      </c>
      <c r="B1514" t="str">
        <f>"Matoušek Soběslav"</f>
        <v>Matoušek Soběslav</v>
      </c>
      <c r="C1514" t="str">
        <f>"45017018"</f>
        <v>45017018</v>
      </c>
    </row>
    <row r="1515" spans="1:5" x14ac:dyDescent="0.25">
      <c r="A1515" t="str">
        <f>"30.05.2011"</f>
        <v>30.05.2011</v>
      </c>
      <c r="B1515" t="str">
        <f>"10.06.2011"</f>
        <v>10.06.2011</v>
      </c>
      <c r="C1515" t="str">
        <f>"02.06.2011"</f>
        <v>02.06.2011</v>
      </c>
      <c r="D1515" t="str">
        <f>"143.392,00"</f>
        <v>143.392,00</v>
      </c>
      <c r="E1515" t="str">
        <f>"143.392,00"</f>
        <v>143.392,00</v>
      </c>
    </row>
    <row r="1518" spans="1:5" x14ac:dyDescent="0.25">
      <c r="A1518" t="str">
        <f>"354"</f>
        <v>354</v>
      </c>
      <c r="B1518" t="str">
        <f>"HERBIA s.r.o. České Bud."</f>
        <v>HERBIA s.r.o. České Bud.</v>
      </c>
      <c r="C1518" t="str">
        <f>"13497791"</f>
        <v>13497791</v>
      </c>
    </row>
    <row r="1519" spans="1:5" x14ac:dyDescent="0.25">
      <c r="A1519" t="str">
        <f>"31.05.2011"</f>
        <v>31.05.2011</v>
      </c>
      <c r="B1519" t="str">
        <f>"12.06.2011"</f>
        <v>12.06.2011</v>
      </c>
      <c r="C1519" t="str">
        <f>"07.06.2011"</f>
        <v>07.06.2011</v>
      </c>
      <c r="D1519" t="str">
        <f>"240,00"</f>
        <v>240,00</v>
      </c>
      <c r="E1519" t="str">
        <f>"240,00"</f>
        <v>240,00</v>
      </c>
    </row>
    <row r="1522" spans="1:5" x14ac:dyDescent="0.25">
      <c r="A1522" t="str">
        <f>"355"</f>
        <v>355</v>
      </c>
      <c r="B1522" t="str">
        <f>"RUMPOLD s.r.o. Tábor"</f>
        <v>RUMPOLD s.r.o. Tábor</v>
      </c>
      <c r="C1522" t="str">
        <f>"61459364"</f>
        <v>61459364</v>
      </c>
    </row>
    <row r="1523" spans="1:5" x14ac:dyDescent="0.25">
      <c r="A1523" t="str">
        <f>"31.05.2011"</f>
        <v>31.05.2011</v>
      </c>
      <c r="B1523" t="str">
        <f>"29.06.2011"</f>
        <v>29.06.2011</v>
      </c>
      <c r="C1523" t="str">
        <f>"22.06.2011"</f>
        <v>22.06.2011</v>
      </c>
      <c r="D1523" t="str">
        <f>"19.674,00"</f>
        <v>19.674,00</v>
      </c>
      <c r="E1523" t="str">
        <f>"19.674,00"</f>
        <v>19.674,00</v>
      </c>
    </row>
    <row r="1526" spans="1:5" x14ac:dyDescent="0.25">
      <c r="A1526" t="str">
        <f>"356"</f>
        <v>356</v>
      </c>
      <c r="B1526" t="str">
        <f>"Sodexo Pass ČR a.s. Praha"</f>
        <v>Sodexo Pass ČR a.s. Praha</v>
      </c>
      <c r="C1526" t="str">
        <f>"61860476"</f>
        <v>61860476</v>
      </c>
    </row>
    <row r="1527" spans="1:5" x14ac:dyDescent="0.25">
      <c r="A1527" t="str">
        <f>"31.05.2011"</f>
        <v>31.05.2011</v>
      </c>
      <c r="B1527" t="str">
        <f>"13.06.2011"</f>
        <v>13.06.2011</v>
      </c>
      <c r="C1527" t="str">
        <f>"09.06.2011"</f>
        <v>09.06.2011</v>
      </c>
      <c r="D1527" t="str">
        <f>"60.204,00"</f>
        <v>60.204,00</v>
      </c>
      <c r="E1527" t="str">
        <f>"60.204,00"</f>
        <v>60.204,00</v>
      </c>
    </row>
    <row r="1530" spans="1:5" x14ac:dyDescent="0.25">
      <c r="A1530" t="str">
        <f>"357"</f>
        <v>357</v>
      </c>
      <c r="B1530" t="str">
        <f>"Gordic  s.r.o. Jihlava"</f>
        <v>Gordic  s.r.o. Jihlava</v>
      </c>
      <c r="C1530" t="str">
        <f>"47903783"</f>
        <v>47903783</v>
      </c>
    </row>
    <row r="1531" spans="1:5" x14ac:dyDescent="0.25">
      <c r="A1531" t="str">
        <f>"01.06.2011"</f>
        <v>01.06.2011</v>
      </c>
      <c r="B1531" t="str">
        <f>"15.06.2011"</f>
        <v>15.06.2011</v>
      </c>
      <c r="C1531" t="str">
        <f>"14.06.2011"</f>
        <v>14.06.2011</v>
      </c>
      <c r="D1531" t="str">
        <f>"4.902,00"</f>
        <v>4.902,00</v>
      </c>
      <c r="E1531" t="str">
        <f>"4.902,00"</f>
        <v>4.902,00</v>
      </c>
    </row>
    <row r="1534" spans="1:5" x14ac:dyDescent="0.25">
      <c r="A1534" t="str">
        <f>"358"</f>
        <v>358</v>
      </c>
      <c r="B1534" t="str">
        <f>"Mareš Zbyněk Tábor"</f>
        <v>Mareš Zbyněk Tábor</v>
      </c>
      <c r="C1534" t="str">
        <f>"69541850"</f>
        <v>69541850</v>
      </c>
    </row>
    <row r="1535" spans="1:5" x14ac:dyDescent="0.25">
      <c r="A1535" t="str">
        <f>"01.06.2011"</f>
        <v>01.06.2011</v>
      </c>
      <c r="B1535" t="str">
        <f>"14.06.2011"</f>
        <v>14.06.2011</v>
      </c>
      <c r="C1535" t="str">
        <f>"10.06.2011"</f>
        <v>10.06.2011</v>
      </c>
      <c r="D1535" t="str">
        <f>"22.956,00"</f>
        <v>22.956,00</v>
      </c>
      <c r="E1535" t="str">
        <f>"22.956,00"</f>
        <v>22.956,00</v>
      </c>
    </row>
    <row r="1538" spans="1:5" x14ac:dyDescent="0.25">
      <c r="A1538" t="str">
        <f>"359"</f>
        <v>359</v>
      </c>
      <c r="B1538" t="str">
        <f>"DCS Systems,s.r.o. Praha"</f>
        <v>DCS Systems,s.r.o. Praha</v>
      </c>
      <c r="C1538" t="str">
        <f>"26178842"</f>
        <v>26178842</v>
      </c>
    </row>
    <row r="1539" spans="1:5" x14ac:dyDescent="0.25">
      <c r="A1539" t="str">
        <f>"02.06.2011"</f>
        <v>02.06.2011</v>
      </c>
      <c r="B1539" t="str">
        <f>"10.06.2011"</f>
        <v>10.06.2011</v>
      </c>
      <c r="C1539" t="str">
        <f>"09.06.2011"</f>
        <v>09.06.2011</v>
      </c>
      <c r="D1539" t="str">
        <f>"10.507,00"</f>
        <v>10.507,00</v>
      </c>
      <c r="E1539" t="str">
        <f>"10.507,00"</f>
        <v>10.507,00</v>
      </c>
    </row>
    <row r="1542" spans="1:5" x14ac:dyDescent="0.25">
      <c r="A1542" t="str">
        <f>"360"</f>
        <v>360</v>
      </c>
      <c r="B1542" t="str">
        <f>"Ing. Fiala Boh. Soběslav"</f>
        <v>Ing. Fiala Boh. Soběslav</v>
      </c>
      <c r="C1542" t="str">
        <f>"15781038"</f>
        <v>15781038</v>
      </c>
    </row>
    <row r="1543" spans="1:5" x14ac:dyDescent="0.25">
      <c r="A1543" t="str">
        <f>"03.06.2011"</f>
        <v>03.06.2011</v>
      </c>
      <c r="B1543" t="str">
        <f>"16.06.2011"</f>
        <v>16.06.2011</v>
      </c>
      <c r="C1543" t="str">
        <f>"14.06.2011"</f>
        <v>14.06.2011</v>
      </c>
      <c r="D1543" t="str">
        <f>"500,00"</f>
        <v>500,00</v>
      </c>
      <c r="E1543" t="str">
        <f>"500,00"</f>
        <v>500,00</v>
      </c>
    </row>
    <row r="1546" spans="1:5" x14ac:dyDescent="0.25">
      <c r="A1546" t="str">
        <f>"361"</f>
        <v>361</v>
      </c>
      <c r="B1546" t="str">
        <f>"T.O.D.O.K. s.r.o.Soběslav"</f>
        <v>T.O.D.O.K. s.r.o.Soběslav</v>
      </c>
      <c r="C1546" t="str">
        <f>"48201936"</f>
        <v>48201936</v>
      </c>
    </row>
    <row r="1547" spans="1:5" x14ac:dyDescent="0.25">
      <c r="A1547" t="str">
        <f>"03.06.2011"</f>
        <v>03.06.2011</v>
      </c>
      <c r="B1547" t="str">
        <f>"11.06.2011"</f>
        <v>11.06.2011</v>
      </c>
      <c r="C1547" t="str">
        <f>"09.06.2011"</f>
        <v>09.06.2011</v>
      </c>
      <c r="D1547" t="str">
        <f>"300.000,00"</f>
        <v>300.000,00</v>
      </c>
      <c r="E1547" t="str">
        <f>"300.000,00"</f>
        <v>300.000,00</v>
      </c>
    </row>
    <row r="1550" spans="1:5" x14ac:dyDescent="0.25">
      <c r="A1550" t="str">
        <f>"362"</f>
        <v>362</v>
      </c>
      <c r="B1550" t="str">
        <f>"QASAR s.r.o. Mažice"</f>
        <v>QASAR s.r.o. Mažice</v>
      </c>
      <c r="C1550" t="str">
        <f>"25192469"</f>
        <v>25192469</v>
      </c>
    </row>
    <row r="1551" spans="1:5" x14ac:dyDescent="0.25">
      <c r="A1551" t="str">
        <f>"06.06.2011"</f>
        <v>06.06.2011</v>
      </c>
      <c r="B1551" t="str">
        <f>"30.06.2011"</f>
        <v>30.06.2011</v>
      </c>
      <c r="C1551" t="str">
        <f>"22.06.2011"</f>
        <v>22.06.2011</v>
      </c>
      <c r="D1551" t="str">
        <f>"4.800,00"</f>
        <v>4.800,00</v>
      </c>
      <c r="E1551" t="str">
        <f>"4.800,00"</f>
        <v>4.800,00</v>
      </c>
    </row>
    <row r="1554" spans="1:5" x14ac:dyDescent="0.25">
      <c r="A1554" t="str">
        <f>"363"</f>
        <v>363</v>
      </c>
      <c r="B1554" t="str">
        <f>"Hajný-T s.r.o."</f>
        <v>Hajný-T s.r.o.</v>
      </c>
      <c r="C1554" t="str">
        <f>"63886839"</f>
        <v>63886839</v>
      </c>
    </row>
    <row r="1555" spans="1:5" x14ac:dyDescent="0.25">
      <c r="A1555" t="str">
        <f>"03.06.2011"</f>
        <v>03.06.2011</v>
      </c>
      <c r="B1555" t="str">
        <f>"14.06.2011"</f>
        <v>14.06.2011</v>
      </c>
      <c r="C1555" t="str">
        <f>"10.06.2011"</f>
        <v>10.06.2011</v>
      </c>
      <c r="D1555" t="str">
        <f>"2.000,00"</f>
        <v>2.000,00</v>
      </c>
      <c r="E1555" t="str">
        <f>"2.000,00"</f>
        <v>2.000,00</v>
      </c>
    </row>
    <row r="1558" spans="1:5" x14ac:dyDescent="0.25">
      <c r="A1558" t="str">
        <f>"364"</f>
        <v>364</v>
      </c>
      <c r="B1558" t="str">
        <f>"Hajný-T s.r.o."</f>
        <v>Hajný-T s.r.o.</v>
      </c>
      <c r="C1558" t="str">
        <f>"63886839"</f>
        <v>63886839</v>
      </c>
    </row>
    <row r="1559" spans="1:5" x14ac:dyDescent="0.25">
      <c r="A1559" t="str">
        <f>"03.06.2011"</f>
        <v>03.06.2011</v>
      </c>
      <c r="B1559" t="str">
        <f>"14.06.2011"</f>
        <v>14.06.2011</v>
      </c>
      <c r="C1559" t="str">
        <f>"10.06.2011"</f>
        <v>10.06.2011</v>
      </c>
      <c r="D1559" t="str">
        <f>"6.136,00"</f>
        <v>6.136,00</v>
      </c>
      <c r="E1559" t="str">
        <f>"6.136,00"</f>
        <v>6.136,00</v>
      </c>
    </row>
    <row r="1561" spans="1:5" x14ac:dyDescent="0.25">
      <c r="A1561" t="str">
        <f>"Poř.č.fak."</f>
        <v>Poř.č.fak.</v>
      </c>
      <c r="B1561" t="str">
        <f>"Dodavatel"</f>
        <v>Dodavatel</v>
      </c>
      <c r="C1561" t="str">
        <f>"IČO"</f>
        <v>IČO</v>
      </c>
    </row>
    <row r="1562" spans="1:5" x14ac:dyDescent="0.25">
      <c r="A1562" t="str">
        <f>"Došla"</f>
        <v>Došla</v>
      </c>
      <c r="B1562" t="str">
        <f>"Splatná"</f>
        <v>Splatná</v>
      </c>
      <c r="C1562" t="str">
        <f>"Zaplacená"</f>
        <v>Zaplacená</v>
      </c>
      <c r="D1562" t="str">
        <f>"Fakt.částka"</f>
        <v>Fakt.částka</v>
      </c>
      <c r="E1562" t="str">
        <f>"Celk.zaplaceno"</f>
        <v>Celk.zaplaceno</v>
      </c>
    </row>
    <row r="1563" spans="1:5" x14ac:dyDescent="0.25">
      <c r="B1563" t="str">
        <f>"Poznámka"</f>
        <v>Poznámka</v>
      </c>
    </row>
    <row r="1564" spans="1:5" x14ac:dyDescent="0.25">
      <c r="A1564" t="str">
        <f>"**********"</f>
        <v>**********</v>
      </c>
      <c r="B1564" t="str">
        <f>"**************************"</f>
        <v>**************************</v>
      </c>
      <c r="C1564" t="str">
        <f>"***********"</f>
        <v>***********</v>
      </c>
      <c r="D1564" t="str">
        <f>"***************"</f>
        <v>***************</v>
      </c>
      <c r="E1564" t="str">
        <f>"***************"</f>
        <v>***************</v>
      </c>
    </row>
    <row r="1566" spans="1:5" x14ac:dyDescent="0.25">
      <c r="A1566" t="str">
        <f>"365"</f>
        <v>365</v>
      </c>
      <c r="B1566" t="str">
        <f>"Telefónica 02 CR, a.s."</f>
        <v>Telefónica 02 CR, a.s.</v>
      </c>
      <c r="C1566" t="str">
        <f>"60193336"</f>
        <v>60193336</v>
      </c>
    </row>
    <row r="1567" spans="1:5" x14ac:dyDescent="0.25">
      <c r="A1567" t="str">
        <f>"06.06.2011"</f>
        <v>06.06.2011</v>
      </c>
      <c r="B1567" t="str">
        <f>"15.06.2011"</f>
        <v>15.06.2011</v>
      </c>
      <c r="C1567" t="str">
        <f>"14.06.2011"</f>
        <v>14.06.2011</v>
      </c>
      <c r="D1567" t="str">
        <f>"46,31"</f>
        <v>46,31</v>
      </c>
      <c r="E1567" t="str">
        <f>"46,31"</f>
        <v>46,31</v>
      </c>
    </row>
    <row r="1570" spans="1:5" x14ac:dyDescent="0.25">
      <c r="A1570" t="str">
        <f>"366"</f>
        <v>366</v>
      </c>
      <c r="B1570" t="str">
        <f>"Technické služby, s.r.o."</f>
        <v>Technické služby, s.r.o.</v>
      </c>
      <c r="C1570" t="str">
        <f>"62502565"</f>
        <v>62502565</v>
      </c>
    </row>
    <row r="1571" spans="1:5" x14ac:dyDescent="0.25">
      <c r="A1571" t="str">
        <f>"06.06.2011"</f>
        <v>06.06.2011</v>
      </c>
      <c r="B1571" t="str">
        <f>"16.06.2011"</f>
        <v>16.06.2011</v>
      </c>
      <c r="C1571" t="str">
        <f>"14.06.2011"</f>
        <v>14.06.2011</v>
      </c>
      <c r="D1571" t="str">
        <f>"6.240,00"</f>
        <v>6.240,00</v>
      </c>
      <c r="E1571" t="str">
        <f>"6.240,00"</f>
        <v>6.240,00</v>
      </c>
    </row>
    <row r="1574" spans="1:5" x14ac:dyDescent="0.25">
      <c r="A1574" t="str">
        <f>"367"</f>
        <v>367</v>
      </c>
      <c r="B1574" t="str">
        <f>"TARIKA,sdružení  Tábor"</f>
        <v>TARIKA,sdružení  Tábor</v>
      </c>
      <c r="C1574" t="str">
        <f>"46699961"</f>
        <v>46699961</v>
      </c>
    </row>
    <row r="1575" spans="1:5" x14ac:dyDescent="0.25">
      <c r="A1575" t="str">
        <f>"06.06.2011"</f>
        <v>06.06.2011</v>
      </c>
      <c r="B1575" t="str">
        <f>"14.06.2011"</f>
        <v>14.06.2011</v>
      </c>
      <c r="C1575" t="str">
        <f>"10.06.2011"</f>
        <v>10.06.2011</v>
      </c>
      <c r="D1575" t="str">
        <f>"20.000,00"</f>
        <v>20.000,00</v>
      </c>
      <c r="E1575" t="str">
        <f>"20.000,00"</f>
        <v>20.000,00</v>
      </c>
    </row>
    <row r="1578" spans="1:5" x14ac:dyDescent="0.25">
      <c r="A1578" t="str">
        <f>"368"</f>
        <v>368</v>
      </c>
      <c r="B1578" t="str">
        <f>"Java Třeboň"</f>
        <v>Java Třeboň</v>
      </c>
      <c r="C1578" t="str">
        <f>"15792994"</f>
        <v>15792994</v>
      </c>
    </row>
    <row r="1579" spans="1:5" x14ac:dyDescent="0.25">
      <c r="A1579" t="str">
        <f>"06.06.2011"</f>
        <v>06.06.2011</v>
      </c>
      <c r="B1579" t="str">
        <f>"09.06.2011"</f>
        <v>09.06.2011</v>
      </c>
      <c r="C1579" t="str">
        <f>"09.06.2011"</f>
        <v>09.06.2011</v>
      </c>
      <c r="D1579" t="str">
        <f>"31.988,00"</f>
        <v>31.988,00</v>
      </c>
      <c r="E1579" t="str">
        <f>"31.988,00"</f>
        <v>31.988,00</v>
      </c>
    </row>
    <row r="1582" spans="1:5" x14ac:dyDescent="0.25">
      <c r="A1582" t="str">
        <f>"369"</f>
        <v>369</v>
      </c>
      <c r="B1582" t="str">
        <f>"Spilka a Říha s.r.o. Sobě"</f>
        <v>Spilka a Říha s.r.o. Sobě</v>
      </c>
      <c r="C1582" t="str">
        <f>"45021309"</f>
        <v>45021309</v>
      </c>
    </row>
    <row r="1583" spans="1:5" x14ac:dyDescent="0.25">
      <c r="A1583" t="str">
        <f>"06.06.2011"</f>
        <v>06.06.2011</v>
      </c>
      <c r="B1583" t="str">
        <f>"14.06.2011"</f>
        <v>14.06.2011</v>
      </c>
      <c r="C1583" t="str">
        <f>"10.06.2011"</f>
        <v>10.06.2011</v>
      </c>
      <c r="D1583" t="str">
        <f>"84.218,00"</f>
        <v>84.218,00</v>
      </c>
      <c r="E1583" t="str">
        <f>"84.218,00"</f>
        <v>84.218,00</v>
      </c>
    </row>
    <row r="1586" spans="1:5" x14ac:dyDescent="0.25">
      <c r="A1586" t="str">
        <f>"370"</f>
        <v>370</v>
      </c>
      <c r="B1586" t="str">
        <f>"Jana Poláková Soběslav"</f>
        <v>Jana Poláková Soběslav</v>
      </c>
      <c r="C1586" t="str">
        <f>"18302076"</f>
        <v>18302076</v>
      </c>
    </row>
    <row r="1587" spans="1:5" x14ac:dyDescent="0.25">
      <c r="A1587" t="str">
        <f>"07.06.2011"</f>
        <v>07.06.2011</v>
      </c>
      <c r="B1587" t="str">
        <f>"14.06.2011"</f>
        <v>14.06.2011</v>
      </c>
      <c r="C1587" t="str">
        <f>"07.06.2011"</f>
        <v>07.06.2011</v>
      </c>
      <c r="D1587" t="str">
        <f>"43.275,00"</f>
        <v>43.275,00</v>
      </c>
      <c r="E1587" t="str">
        <f>"43.275,00"</f>
        <v>43.275,00</v>
      </c>
    </row>
    <row r="1590" spans="1:5" x14ac:dyDescent="0.25">
      <c r="A1590" t="str">
        <f>"371"</f>
        <v>371</v>
      </c>
      <c r="B1590" t="str">
        <f>"Spilka a Říha s.r.o. Sobě"</f>
        <v>Spilka a Říha s.r.o. Sobě</v>
      </c>
      <c r="C1590" t="str">
        <f>"45021309"</f>
        <v>45021309</v>
      </c>
    </row>
    <row r="1591" spans="1:5" x14ac:dyDescent="0.25">
      <c r="A1591" t="str">
        <f>"07.06.2011"</f>
        <v>07.06.2011</v>
      </c>
      <c r="B1591" t="str">
        <f>"21.06.2011"</f>
        <v>21.06.2011</v>
      </c>
      <c r="C1591" t="str">
        <f>"17.06.2011"</f>
        <v>17.06.2011</v>
      </c>
      <c r="D1591" t="str">
        <f>"14.506.864,00"</f>
        <v>14.506.864,00</v>
      </c>
      <c r="E1591" t="str">
        <f>"14.506.864,00"</f>
        <v>14.506.864,00</v>
      </c>
    </row>
    <row r="1594" spans="1:5" x14ac:dyDescent="0.25">
      <c r="A1594" t="str">
        <f>"372"</f>
        <v>372</v>
      </c>
      <c r="B1594" t="str">
        <f>"Petr Palán Vesce 46"</f>
        <v>Petr Palán Vesce 46</v>
      </c>
      <c r="C1594" t="str">
        <f>"45015171"</f>
        <v>45015171</v>
      </c>
    </row>
    <row r="1595" spans="1:5" x14ac:dyDescent="0.25">
      <c r="A1595" t="str">
        <f>"07.06.2011"</f>
        <v>07.06.2011</v>
      </c>
      <c r="B1595" t="str">
        <f>"17.06.2011"</f>
        <v>17.06.2011</v>
      </c>
      <c r="C1595" t="str">
        <f>"15.06.2011"</f>
        <v>15.06.2011</v>
      </c>
      <c r="D1595" t="str">
        <f>"16.849,00"</f>
        <v>16.849,00</v>
      </c>
      <c r="E1595" t="str">
        <f>"16.849,00"</f>
        <v>16.849,00</v>
      </c>
    </row>
    <row r="1598" spans="1:5" x14ac:dyDescent="0.25">
      <c r="A1598" t="str">
        <f>"373"</f>
        <v>373</v>
      </c>
      <c r="B1598" t="str">
        <f>"DCS Systems,s.r.o. Praha"</f>
        <v>DCS Systems,s.r.o. Praha</v>
      </c>
      <c r="C1598" t="str">
        <f>"26178842"</f>
        <v>26178842</v>
      </c>
    </row>
    <row r="1599" spans="1:5" x14ac:dyDescent="0.25">
      <c r="A1599" t="str">
        <f>"07.06.2011"</f>
        <v>07.06.2011</v>
      </c>
      <c r="B1599" t="str">
        <f>"16.06.2011"</f>
        <v>16.06.2011</v>
      </c>
      <c r="C1599" t="str">
        <f>"14.06.2011"</f>
        <v>14.06.2011</v>
      </c>
      <c r="D1599" t="str">
        <f>"1.200,00"</f>
        <v>1.200,00</v>
      </c>
      <c r="E1599" t="str">
        <f>"1.200,00"</f>
        <v>1.200,00</v>
      </c>
    </row>
    <row r="1602" spans="1:5" x14ac:dyDescent="0.25">
      <c r="A1602" t="str">
        <f>"374"</f>
        <v>374</v>
      </c>
      <c r="B1602" t="str">
        <f>"FLEX, s.r.o. Brno"</f>
        <v>FLEX, s.r.o. Brno</v>
      </c>
      <c r="C1602" t="str">
        <f>"49453971"</f>
        <v>49453971</v>
      </c>
    </row>
    <row r="1603" spans="1:5" x14ac:dyDescent="0.25">
      <c r="A1603" t="str">
        <f>"07.06.2011"</f>
        <v>07.06.2011</v>
      </c>
      <c r="B1603" t="str">
        <f>"20.06.2011"</f>
        <v>20.06.2011</v>
      </c>
      <c r="C1603" t="str">
        <f>"17.06.2011"</f>
        <v>17.06.2011</v>
      </c>
      <c r="D1603" t="str">
        <f>"151.140,00"</f>
        <v>151.140,00</v>
      </c>
      <c r="E1603" t="str">
        <f>"151.140,00"</f>
        <v>151.140,00</v>
      </c>
    </row>
    <row r="1606" spans="1:5" x14ac:dyDescent="0.25">
      <c r="A1606" t="str">
        <f>"375"</f>
        <v>375</v>
      </c>
      <c r="B1606" t="str">
        <f>"BENZINA ,s.r.o. Praha 4"</f>
        <v>BENZINA ,s.r.o. Praha 4</v>
      </c>
      <c r="C1606" t="str">
        <f>"60193328"</f>
        <v>60193328</v>
      </c>
    </row>
    <row r="1607" spans="1:5" x14ac:dyDescent="0.25">
      <c r="A1607" t="str">
        <f>"07.06.2011"</f>
        <v>07.06.2011</v>
      </c>
      <c r="B1607" t="str">
        <f>"07.06.2011"</f>
        <v>07.06.2011</v>
      </c>
      <c r="C1607" t="str">
        <f>"07.06.2011"</f>
        <v>07.06.2011</v>
      </c>
      <c r="D1607" t="str">
        <f>"18.011,64"</f>
        <v>18.011,64</v>
      </c>
      <c r="E1607" t="str">
        <f>"18.011,64"</f>
        <v>18.011,64</v>
      </c>
    </row>
    <row r="1610" spans="1:5" x14ac:dyDescent="0.25">
      <c r="A1610" t="str">
        <f>"376"</f>
        <v>376</v>
      </c>
      <c r="B1610" t="str">
        <f>"GEOVAP s.r.o. Pardubice"</f>
        <v>GEOVAP s.r.o. Pardubice</v>
      </c>
      <c r="C1610" t="str">
        <f>"15049248"</f>
        <v>15049248</v>
      </c>
    </row>
    <row r="1611" spans="1:5" x14ac:dyDescent="0.25">
      <c r="A1611" t="str">
        <f>"07.06.2011"</f>
        <v>07.06.2011</v>
      </c>
      <c r="B1611" t="str">
        <f>"19.06.2011"</f>
        <v>19.06.2011</v>
      </c>
      <c r="C1611" t="str">
        <f>"15.06.2011"</f>
        <v>15.06.2011</v>
      </c>
      <c r="D1611" t="str">
        <f>"2.000,00"</f>
        <v>2.000,00</v>
      </c>
      <c r="E1611" t="str">
        <f>"2.000,00"</f>
        <v>2.000,00</v>
      </c>
    </row>
    <row r="1614" spans="1:5" x14ac:dyDescent="0.25">
      <c r="A1614" t="str">
        <f>"377"</f>
        <v>377</v>
      </c>
      <c r="B1614" t="str">
        <f>"GEOVAP s.r.o. Pardubice"</f>
        <v>GEOVAP s.r.o. Pardubice</v>
      </c>
      <c r="C1614" t="str">
        <f>"15049248"</f>
        <v>15049248</v>
      </c>
    </row>
    <row r="1615" spans="1:5" x14ac:dyDescent="0.25">
      <c r="A1615" t="str">
        <f>"07.06.2011"</f>
        <v>07.06.2011</v>
      </c>
      <c r="B1615" t="str">
        <f>"19.06.2011"</f>
        <v>19.06.2011</v>
      </c>
      <c r="C1615" t="str">
        <f>"15.06.2011"</f>
        <v>15.06.2011</v>
      </c>
      <c r="D1615" t="str">
        <f>"5.010,00"</f>
        <v>5.010,00</v>
      </c>
      <c r="E1615" t="str">
        <f>"5.010,00"</f>
        <v>5.010,00</v>
      </c>
    </row>
    <row r="1618" spans="1:5" x14ac:dyDescent="0.25">
      <c r="A1618" t="str">
        <f>"378"</f>
        <v>378</v>
      </c>
      <c r="B1618" t="str">
        <f>"Česká pošta ,s.p. Praha 1"</f>
        <v>Česká pošta ,s.p. Praha 1</v>
      </c>
      <c r="C1618" t="str">
        <f>"47114983"</f>
        <v>47114983</v>
      </c>
    </row>
    <row r="1619" spans="1:5" x14ac:dyDescent="0.25">
      <c r="A1619" t="str">
        <f>"07.06.2011"</f>
        <v>07.06.2011</v>
      </c>
      <c r="B1619" t="str">
        <f>"17.06.2011"</f>
        <v>17.06.2011</v>
      </c>
      <c r="C1619" t="str">
        <f>"15.06.2011"</f>
        <v>15.06.2011</v>
      </c>
      <c r="D1619" t="str">
        <f>"432,00"</f>
        <v>432,00</v>
      </c>
      <c r="E1619" t="str">
        <f>"432,00"</f>
        <v>432,00</v>
      </c>
    </row>
    <row r="1621" spans="1:5" x14ac:dyDescent="0.25">
      <c r="A1621" t="str">
        <f>"Poř.č.fak."</f>
        <v>Poř.č.fak.</v>
      </c>
      <c r="B1621" t="str">
        <f>"Dodavatel"</f>
        <v>Dodavatel</v>
      </c>
      <c r="C1621" t="str">
        <f>"IČO"</f>
        <v>IČO</v>
      </c>
    </row>
    <row r="1622" spans="1:5" x14ac:dyDescent="0.25">
      <c r="A1622" t="str">
        <f>"Došla"</f>
        <v>Došla</v>
      </c>
      <c r="B1622" t="str">
        <f>"Splatná"</f>
        <v>Splatná</v>
      </c>
      <c r="C1622" t="str">
        <f>"Zaplacená"</f>
        <v>Zaplacená</v>
      </c>
      <c r="D1622" t="str">
        <f>"Fakt.částka"</f>
        <v>Fakt.částka</v>
      </c>
      <c r="E1622" t="str">
        <f>"Celk.zaplaceno"</f>
        <v>Celk.zaplaceno</v>
      </c>
    </row>
    <row r="1623" spans="1:5" x14ac:dyDescent="0.25">
      <c r="B1623" t="str">
        <f>"Poznámka"</f>
        <v>Poznámka</v>
      </c>
    </row>
    <row r="1624" spans="1:5" x14ac:dyDescent="0.25">
      <c r="A1624" t="str">
        <f>"**********"</f>
        <v>**********</v>
      </c>
      <c r="B1624" t="str">
        <f>"**************************"</f>
        <v>**************************</v>
      </c>
      <c r="C1624" t="str">
        <f>"***********"</f>
        <v>***********</v>
      </c>
      <c r="D1624" t="str">
        <f>"***************"</f>
        <v>***************</v>
      </c>
      <c r="E1624" t="str">
        <f>"***************"</f>
        <v>***************</v>
      </c>
    </row>
    <row r="1626" spans="1:5" x14ac:dyDescent="0.25">
      <c r="A1626" t="str">
        <f>"379"</f>
        <v>379</v>
      </c>
      <c r="B1626" t="str">
        <f>"Česká pošta ,s.p. Praha 1"</f>
        <v>Česká pošta ,s.p. Praha 1</v>
      </c>
      <c r="C1626" t="str">
        <f>"47114983"</f>
        <v>47114983</v>
      </c>
    </row>
    <row r="1627" spans="1:5" x14ac:dyDescent="0.25">
      <c r="A1627" t="str">
        <f>"08.06.2011"</f>
        <v>08.06.2011</v>
      </c>
      <c r="B1627" t="str">
        <f>"20.06.2011"</f>
        <v>20.06.2011</v>
      </c>
      <c r="C1627" t="str">
        <f>"17.06.2011"</f>
        <v>17.06.2011</v>
      </c>
      <c r="D1627" t="str">
        <f>"39.340,00"</f>
        <v>39.340,00</v>
      </c>
      <c r="E1627" t="str">
        <f>"39.340,00"</f>
        <v>39.340,00</v>
      </c>
    </row>
    <row r="1630" spans="1:5" x14ac:dyDescent="0.25">
      <c r="A1630" t="str">
        <f>"380"</f>
        <v>380</v>
      </c>
      <c r="B1630" t="str">
        <f>"TJ SPARTAK Soběslav"</f>
        <v>TJ SPARTAK Soběslav</v>
      </c>
      <c r="C1630" t="str">
        <f>"46632191"</f>
        <v>46632191</v>
      </c>
    </row>
    <row r="1631" spans="1:5" x14ac:dyDescent="0.25">
      <c r="A1631" t="str">
        <f>"08.06.2011"</f>
        <v>08.06.2011</v>
      </c>
      <c r="B1631" t="str">
        <f>"21.06.2011"</f>
        <v>21.06.2011</v>
      </c>
      <c r="C1631" t="str">
        <f>"17.06.2011"</f>
        <v>17.06.2011</v>
      </c>
      <c r="D1631" t="str">
        <f>"1.838,00"</f>
        <v>1.838,00</v>
      </c>
      <c r="E1631" t="str">
        <f>"1.838,00"</f>
        <v>1.838,00</v>
      </c>
    </row>
    <row r="1634" spans="1:5" x14ac:dyDescent="0.25">
      <c r="A1634" t="str">
        <f>"381"</f>
        <v>381</v>
      </c>
      <c r="B1634" t="str">
        <f>"RUMPOLD s.r.o. Tábor"</f>
        <v>RUMPOLD s.r.o. Tábor</v>
      </c>
      <c r="C1634" t="str">
        <f>"61459364"</f>
        <v>61459364</v>
      </c>
    </row>
    <row r="1635" spans="1:5" x14ac:dyDescent="0.25">
      <c r="A1635" t="str">
        <f>"08.06.2011"</f>
        <v>08.06.2011</v>
      </c>
      <c r="B1635" t="str">
        <f>"30.06.2011"</f>
        <v>30.06.2011</v>
      </c>
      <c r="C1635" t="str">
        <f>"22.06.2011"</f>
        <v>22.06.2011</v>
      </c>
      <c r="D1635" t="str">
        <f>"9.494,00"</f>
        <v>9.494,00</v>
      </c>
      <c r="E1635" t="str">
        <f>"9.494,00"</f>
        <v>9.494,00</v>
      </c>
    </row>
    <row r="1638" spans="1:5" x14ac:dyDescent="0.25">
      <c r="A1638" t="str">
        <f>"382"</f>
        <v>382</v>
      </c>
      <c r="B1638" t="str">
        <f>"ACTIVA s.r.o. Praha 9"</f>
        <v>ACTIVA s.r.o. Praha 9</v>
      </c>
      <c r="C1638" t="str">
        <f>"48111198"</f>
        <v>48111198</v>
      </c>
    </row>
    <row r="1639" spans="1:5" x14ac:dyDescent="0.25">
      <c r="A1639" t="str">
        <f>"09.06.2011"</f>
        <v>09.06.2011</v>
      </c>
      <c r="B1639" t="str">
        <f>"22.06.2011"</f>
        <v>22.06.2011</v>
      </c>
      <c r="C1639" t="str">
        <f>"17.06.2011"</f>
        <v>17.06.2011</v>
      </c>
      <c r="D1639" t="str">
        <f>"104,00"</f>
        <v>104,00</v>
      </c>
      <c r="E1639" t="str">
        <f>"104,00"</f>
        <v>104,00</v>
      </c>
    </row>
    <row r="1642" spans="1:5" x14ac:dyDescent="0.25">
      <c r="A1642" t="str">
        <f>"383"</f>
        <v>383</v>
      </c>
      <c r="B1642" t="str">
        <f>"Telefónica 02 CR a.s."</f>
        <v>Telefónica 02 CR a.s.</v>
      </c>
      <c r="C1642" t="str">
        <f>"60193336"</f>
        <v>60193336</v>
      </c>
    </row>
    <row r="1643" spans="1:5" x14ac:dyDescent="0.25">
      <c r="A1643" t="str">
        <f>"09.06.2011"</f>
        <v>09.06.2011</v>
      </c>
      <c r="B1643" t="str">
        <f>"17.06.2011"</f>
        <v>17.06.2011</v>
      </c>
      <c r="C1643" t="str">
        <f>"15.06.2011"</f>
        <v>15.06.2011</v>
      </c>
      <c r="D1643" t="str">
        <f>"4.527,55"</f>
        <v>4.527,55</v>
      </c>
      <c r="E1643" t="str">
        <f>"4.527,55"</f>
        <v>4.527,55</v>
      </c>
    </row>
    <row r="1646" spans="1:5" x14ac:dyDescent="0.25">
      <c r="A1646" t="str">
        <f>"384"</f>
        <v>384</v>
      </c>
      <c r="B1646" t="str">
        <f>"Telefónica 02 CR, a.s."</f>
        <v>Telefónica 02 CR, a.s.</v>
      </c>
      <c r="C1646" t="str">
        <f>"60193336"</f>
        <v>60193336</v>
      </c>
    </row>
    <row r="1647" spans="1:5" x14ac:dyDescent="0.25">
      <c r="A1647" t="str">
        <f>"09.06.2011"</f>
        <v>09.06.2011</v>
      </c>
      <c r="B1647" t="str">
        <f>"16.06.2011"</f>
        <v>16.06.2011</v>
      </c>
      <c r="C1647" t="str">
        <f>"16.06.2011"</f>
        <v>16.06.2011</v>
      </c>
      <c r="D1647" t="str">
        <f>"25.598,82"</f>
        <v>25.598,82</v>
      </c>
      <c r="E1647" t="str">
        <f>"25.598,82"</f>
        <v>25.598,82</v>
      </c>
    </row>
    <row r="1650" spans="1:5" x14ac:dyDescent="0.25">
      <c r="A1650" t="str">
        <f>"385"</f>
        <v>385</v>
      </c>
      <c r="B1650" t="str">
        <f>"Telefónica 02 CR a.s."</f>
        <v>Telefónica 02 CR a.s.</v>
      </c>
      <c r="C1650" t="str">
        <f>"60193336"</f>
        <v>60193336</v>
      </c>
    </row>
    <row r="1651" spans="1:5" x14ac:dyDescent="0.25">
      <c r="A1651" t="str">
        <f>"09.06.2011"</f>
        <v>09.06.2011</v>
      </c>
      <c r="B1651" t="str">
        <f>"17.06.2011"</f>
        <v>17.06.2011</v>
      </c>
      <c r="C1651" t="str">
        <f>"15.06.2011"</f>
        <v>15.06.2011</v>
      </c>
      <c r="D1651" t="str">
        <f>"1,20"</f>
        <v>1,20</v>
      </c>
      <c r="E1651" t="str">
        <f>"1,20"</f>
        <v>1,20</v>
      </c>
    </row>
    <row r="1654" spans="1:5" x14ac:dyDescent="0.25">
      <c r="A1654" t="str">
        <f>"386"</f>
        <v>386</v>
      </c>
      <c r="B1654" t="str">
        <f>"Telefónica 02 CR a.s."</f>
        <v>Telefónica 02 CR a.s.</v>
      </c>
      <c r="C1654" t="str">
        <f>"60193336"</f>
        <v>60193336</v>
      </c>
    </row>
    <row r="1655" spans="1:5" x14ac:dyDescent="0.25">
      <c r="A1655" t="str">
        <f>"09.06.2011"</f>
        <v>09.06.2011</v>
      </c>
      <c r="B1655" t="str">
        <f>"17.06.2011"</f>
        <v>17.06.2011</v>
      </c>
      <c r="C1655" t="str">
        <f>"15.06.2011"</f>
        <v>15.06.2011</v>
      </c>
      <c r="D1655" t="str">
        <f>"947,86"</f>
        <v>947,86</v>
      </c>
      <c r="E1655" t="str">
        <f>"947,86"</f>
        <v>947,86</v>
      </c>
    </row>
    <row r="1658" spans="1:5" x14ac:dyDescent="0.25">
      <c r="A1658" t="str">
        <f>"387"</f>
        <v>387</v>
      </c>
      <c r="B1658" t="str">
        <f>"Chališ Tábor"</f>
        <v>Chališ Tábor</v>
      </c>
      <c r="C1658" t="str">
        <f>"42360412"</f>
        <v>42360412</v>
      </c>
    </row>
    <row r="1659" spans="1:5" x14ac:dyDescent="0.25">
      <c r="A1659" t="str">
        <f>"09.06.2011"</f>
        <v>09.06.2011</v>
      </c>
      <c r="B1659" t="str">
        <f>"11.07.2011"</f>
        <v>11.07.2011</v>
      </c>
      <c r="C1659" t="str">
        <f>"04.07.2011"</f>
        <v>04.07.2011</v>
      </c>
      <c r="D1659" t="str">
        <f>"84.000,00"</f>
        <v>84.000,00</v>
      </c>
      <c r="E1659" t="str">
        <f>"84.000,00"</f>
        <v>84.000,00</v>
      </c>
    </row>
    <row r="1662" spans="1:5" x14ac:dyDescent="0.25">
      <c r="A1662" t="str">
        <f>"388"</f>
        <v>388</v>
      </c>
      <c r="B1662" t="str">
        <f>"STRABAG a.s. Soběslav"</f>
        <v>STRABAG a.s. Soběslav</v>
      </c>
      <c r="C1662" t="str">
        <f>"60838744"</f>
        <v>60838744</v>
      </c>
    </row>
    <row r="1663" spans="1:5" x14ac:dyDescent="0.25">
      <c r="A1663" t="str">
        <f>"09.06.2011"</f>
        <v>09.06.2011</v>
      </c>
      <c r="B1663" t="str">
        <f>"03.08.2011"</f>
        <v>03.08.2011</v>
      </c>
      <c r="C1663" t="str">
        <f>"01.08.2011"</f>
        <v>01.08.2011</v>
      </c>
      <c r="D1663" t="str">
        <f>"1.089.136,40"</f>
        <v>1.089.136,40</v>
      </c>
      <c r="E1663" t="str">
        <f>"1.089.136,40"</f>
        <v>1.089.136,40</v>
      </c>
    </row>
    <row r="1666" spans="1:5" x14ac:dyDescent="0.25">
      <c r="A1666" t="str">
        <f>"389"</f>
        <v>389</v>
      </c>
      <c r="B1666" t="str">
        <f>"KONICA MINOLTA s.r.o."</f>
        <v>KONICA MINOLTA s.r.o.</v>
      </c>
      <c r="C1666" t="str">
        <f>"00176150"</f>
        <v>00176150</v>
      </c>
    </row>
    <row r="1667" spans="1:5" x14ac:dyDescent="0.25">
      <c r="A1667" t="str">
        <f>"10.06.2011"</f>
        <v>10.06.2011</v>
      </c>
      <c r="B1667" t="str">
        <f>"16.06.2011"</f>
        <v>16.06.2011</v>
      </c>
      <c r="C1667" t="str">
        <f>"14.06.2011"</f>
        <v>14.06.2011</v>
      </c>
      <c r="D1667" t="str">
        <f>"361,10"</f>
        <v>361,10</v>
      </c>
      <c r="E1667" t="str">
        <f>"361,10"</f>
        <v>361,10</v>
      </c>
    </row>
    <row r="1670" spans="1:5" x14ac:dyDescent="0.25">
      <c r="A1670" t="str">
        <f>"390"</f>
        <v>390</v>
      </c>
      <c r="B1670" t="str">
        <f>"KONICA MINOLTA s.r.o."</f>
        <v>KONICA MINOLTA s.r.o.</v>
      </c>
      <c r="C1670" t="str">
        <f>"00176150"</f>
        <v>00176150</v>
      </c>
    </row>
    <row r="1671" spans="1:5" x14ac:dyDescent="0.25">
      <c r="A1671" t="str">
        <f>"10.06.2011"</f>
        <v>10.06.2011</v>
      </c>
      <c r="B1671" t="str">
        <f>"16.06.2011"</f>
        <v>16.06.2011</v>
      </c>
      <c r="C1671" t="str">
        <f>"14.06.2011"</f>
        <v>14.06.2011</v>
      </c>
      <c r="D1671" t="str">
        <f>"1.716,00"</f>
        <v>1.716,00</v>
      </c>
      <c r="E1671" t="str">
        <f>"1.716,00"</f>
        <v>1.716,00</v>
      </c>
    </row>
    <row r="1674" spans="1:5" x14ac:dyDescent="0.25">
      <c r="A1674" t="str">
        <f>"391"</f>
        <v>391</v>
      </c>
      <c r="B1674" t="str">
        <f>"KONICA MINOLTA s.r.o."</f>
        <v>KONICA MINOLTA s.r.o.</v>
      </c>
      <c r="C1674" t="str">
        <f>"00176150"</f>
        <v>00176150</v>
      </c>
    </row>
    <row r="1675" spans="1:5" x14ac:dyDescent="0.25">
      <c r="A1675" t="str">
        <f>"10.06.2011"</f>
        <v>10.06.2011</v>
      </c>
      <c r="B1675" t="str">
        <f>"16.06.2011"</f>
        <v>16.06.2011</v>
      </c>
      <c r="C1675" t="str">
        <f>"14.06.2011"</f>
        <v>14.06.2011</v>
      </c>
      <c r="D1675" t="str">
        <f>"3.552,00"</f>
        <v>3.552,00</v>
      </c>
      <c r="E1675" t="str">
        <f>"3.552,00"</f>
        <v>3.552,00</v>
      </c>
    </row>
    <row r="1678" spans="1:5" x14ac:dyDescent="0.25">
      <c r="A1678" t="str">
        <f>"392"</f>
        <v>392</v>
      </c>
      <c r="B1678" t="str">
        <f>"David Doležal Soběslav"</f>
        <v>David Doležal Soběslav</v>
      </c>
      <c r="C1678" t="str">
        <f>"63269627"</f>
        <v>63269627</v>
      </c>
    </row>
    <row r="1679" spans="1:5" x14ac:dyDescent="0.25">
      <c r="A1679" t="str">
        <f>"10.06.2011"</f>
        <v>10.06.2011</v>
      </c>
      <c r="B1679" t="str">
        <f>"15.06.2011"</f>
        <v>15.06.2011</v>
      </c>
      <c r="C1679" t="str">
        <f>"14.06.2011"</f>
        <v>14.06.2011</v>
      </c>
      <c r="D1679" t="str">
        <f>"29.100,00"</f>
        <v>29.100,00</v>
      </c>
      <c r="E1679" t="str">
        <f>"29.100,00"</f>
        <v>29.100,00</v>
      </c>
    </row>
    <row r="1681" spans="1:5" x14ac:dyDescent="0.25">
      <c r="A1681" t="str">
        <f>"Poř.č.fak."</f>
        <v>Poř.č.fak.</v>
      </c>
      <c r="B1681" t="str">
        <f>"Dodavatel"</f>
        <v>Dodavatel</v>
      </c>
      <c r="C1681" t="str">
        <f>"IČO"</f>
        <v>IČO</v>
      </c>
    </row>
    <row r="1682" spans="1:5" x14ac:dyDescent="0.25">
      <c r="A1682" t="str">
        <f>"Došla"</f>
        <v>Došla</v>
      </c>
      <c r="B1682" t="str">
        <f>"Splatná"</f>
        <v>Splatná</v>
      </c>
      <c r="C1682" t="str">
        <f>"Zaplacená"</f>
        <v>Zaplacená</v>
      </c>
      <c r="D1682" t="str">
        <f>"Fakt.částka"</f>
        <v>Fakt.částka</v>
      </c>
      <c r="E1682" t="str">
        <f>"Celk.zaplaceno"</f>
        <v>Celk.zaplaceno</v>
      </c>
    </row>
    <row r="1683" spans="1:5" x14ac:dyDescent="0.25">
      <c r="B1683" t="str">
        <f>"Poznámka"</f>
        <v>Poznámka</v>
      </c>
    </row>
    <row r="1684" spans="1:5" x14ac:dyDescent="0.25">
      <c r="A1684" t="str">
        <f>"**********"</f>
        <v>**********</v>
      </c>
      <c r="B1684" t="str">
        <f>"**************************"</f>
        <v>**************************</v>
      </c>
      <c r="C1684" t="str">
        <f>"***********"</f>
        <v>***********</v>
      </c>
      <c r="D1684" t="str">
        <f>"***************"</f>
        <v>***************</v>
      </c>
      <c r="E1684" t="str">
        <f>"***************"</f>
        <v>***************</v>
      </c>
    </row>
    <row r="1686" spans="1:5" x14ac:dyDescent="0.25">
      <c r="A1686" t="str">
        <f>"393"</f>
        <v>393</v>
      </c>
      <c r="B1686" t="str">
        <f>"Česká pošta, s.p. Praha"</f>
        <v>Česká pošta, s.p. Praha</v>
      </c>
      <c r="C1686" t="str">
        <f>"47114983"</f>
        <v>47114983</v>
      </c>
    </row>
    <row r="1687" spans="1:5" x14ac:dyDescent="0.25">
      <c r="A1687" t="str">
        <f>"10.06.2011"</f>
        <v>10.06.2011</v>
      </c>
      <c r="B1687" t="str">
        <f>"23.06.2011"</f>
        <v>23.06.2011</v>
      </c>
      <c r="C1687" t="str">
        <f>"21.06.2011"</f>
        <v>21.06.2011</v>
      </c>
      <c r="D1687" t="str">
        <f>"720,00"</f>
        <v>720,00</v>
      </c>
      <c r="E1687" t="str">
        <f>"720,00"</f>
        <v>720,00</v>
      </c>
    </row>
    <row r="1690" spans="1:5" x14ac:dyDescent="0.25">
      <c r="A1690" t="str">
        <f>"394"</f>
        <v>394</v>
      </c>
      <c r="B1690" t="str">
        <f>"Správa města Soběslavi"</f>
        <v>Správa města Soběslavi</v>
      </c>
      <c r="C1690" t="str">
        <f>"26029987"</f>
        <v>26029987</v>
      </c>
    </row>
    <row r="1691" spans="1:5" x14ac:dyDescent="0.25">
      <c r="A1691" t="str">
        <f>"10.06.2011"</f>
        <v>10.06.2011</v>
      </c>
      <c r="B1691" t="str">
        <f>"23.06.2011"</f>
        <v>23.06.2011</v>
      </c>
      <c r="C1691" t="str">
        <f>"21.06.2011"</f>
        <v>21.06.2011</v>
      </c>
      <c r="D1691" t="str">
        <f>"940.000,00"</f>
        <v>940.000,00</v>
      </c>
      <c r="E1691" t="str">
        <f>"940.000,00"</f>
        <v>940.000,00</v>
      </c>
    </row>
    <row r="1694" spans="1:5" x14ac:dyDescent="0.25">
      <c r="A1694" t="str">
        <f>"395"</f>
        <v>395</v>
      </c>
      <c r="B1694" t="str">
        <f>"Reklamní ateliér s.r.o."</f>
        <v>Reklamní ateliér s.r.o.</v>
      </c>
      <c r="C1694" t="str">
        <f>"46683160"</f>
        <v>46683160</v>
      </c>
    </row>
    <row r="1695" spans="1:5" x14ac:dyDescent="0.25">
      <c r="A1695" t="str">
        <f>"10.06.2011"</f>
        <v>10.06.2011</v>
      </c>
      <c r="B1695" t="str">
        <f>"19.06.2011"</f>
        <v>19.06.2011</v>
      </c>
      <c r="C1695" t="str">
        <f>"21.06.2011"</f>
        <v>21.06.2011</v>
      </c>
      <c r="D1695" t="str">
        <f>"8.059,00"</f>
        <v>8.059,00</v>
      </c>
      <c r="E1695" t="str">
        <f>"8.059,00"</f>
        <v>8.059,00</v>
      </c>
    </row>
    <row r="1698" spans="1:5" x14ac:dyDescent="0.25">
      <c r="A1698" t="str">
        <f>"396"</f>
        <v>396</v>
      </c>
      <c r="B1698" t="str">
        <f>"Petr Palán Vesce 46"</f>
        <v>Petr Palán Vesce 46</v>
      </c>
      <c r="C1698" t="str">
        <f>"45015171"</f>
        <v>45015171</v>
      </c>
    </row>
    <row r="1699" spans="1:5" x14ac:dyDescent="0.25">
      <c r="A1699" t="str">
        <f>"09.06.2011"</f>
        <v>09.06.2011</v>
      </c>
      <c r="B1699" t="str">
        <f>"18.06.2011"</f>
        <v>18.06.2011</v>
      </c>
      <c r="C1699" t="str">
        <f>"10.06.2011"</f>
        <v>10.06.2011</v>
      </c>
      <c r="D1699" t="str">
        <f>"60.466,00"</f>
        <v>60.466,00</v>
      </c>
      <c r="E1699" t="str">
        <f>"60.466,00"</f>
        <v>60.466,00</v>
      </c>
    </row>
    <row r="1702" spans="1:5" x14ac:dyDescent="0.25">
      <c r="A1702" t="str">
        <f>"397"</f>
        <v>397</v>
      </c>
      <c r="B1702" t="str">
        <f>"Česká pošta, s.p. Praha"</f>
        <v>Česká pošta, s.p. Praha</v>
      </c>
      <c r="C1702" t="str">
        <f>"47114983"</f>
        <v>47114983</v>
      </c>
    </row>
    <row r="1703" spans="1:5" x14ac:dyDescent="0.25">
      <c r="A1703" t="str">
        <f>"13.06.2011"</f>
        <v>13.06.2011</v>
      </c>
      <c r="B1703" t="str">
        <f>"23.06.2011"</f>
        <v>23.06.2011</v>
      </c>
      <c r="C1703" t="str">
        <f>"21.06.2011"</f>
        <v>21.06.2011</v>
      </c>
      <c r="D1703" t="str">
        <f>"835,20"</f>
        <v>835,20</v>
      </c>
      <c r="E1703" t="str">
        <f>"835,20"</f>
        <v>835,20</v>
      </c>
    </row>
    <row r="1706" spans="1:5" x14ac:dyDescent="0.25">
      <c r="A1706" t="str">
        <f>"398"</f>
        <v>398</v>
      </c>
      <c r="B1706" t="str">
        <f>"Česká pošta, s.p. Praha"</f>
        <v>Česká pošta, s.p. Praha</v>
      </c>
      <c r="C1706" t="str">
        <f>"47114983"</f>
        <v>47114983</v>
      </c>
    </row>
    <row r="1707" spans="1:5" x14ac:dyDescent="0.25">
      <c r="A1707" t="str">
        <f>"13.06.2011"</f>
        <v>13.06.2011</v>
      </c>
      <c r="B1707" t="str">
        <f>"23.06.2011"</f>
        <v>23.06.2011</v>
      </c>
      <c r="C1707" t="str">
        <f>"21.06.2011"</f>
        <v>21.06.2011</v>
      </c>
      <c r="D1707" t="str">
        <f>"1.584,00"</f>
        <v>1.584,00</v>
      </c>
      <c r="E1707" t="str">
        <f>"1.584,00"</f>
        <v>1.584,00</v>
      </c>
    </row>
    <row r="1710" spans="1:5" x14ac:dyDescent="0.25">
      <c r="A1710" t="str">
        <f>"399"</f>
        <v>399</v>
      </c>
      <c r="B1710" t="str">
        <f>"Zotepo s.r.o."</f>
        <v>Zotepo s.r.o.</v>
      </c>
      <c r="C1710" t="str">
        <f>"26020025"</f>
        <v>26020025</v>
      </c>
    </row>
    <row r="1711" spans="1:5" x14ac:dyDescent="0.25">
      <c r="A1711" t="str">
        <f>"16.06.2011"</f>
        <v>16.06.2011</v>
      </c>
      <c r="B1711" t="str">
        <f>"20.06.2011"</f>
        <v>20.06.2011</v>
      </c>
      <c r="C1711" t="str">
        <f>"21.06.2011"</f>
        <v>21.06.2011</v>
      </c>
      <c r="D1711" t="str">
        <f>"79.071,00"</f>
        <v>79.071,00</v>
      </c>
      <c r="E1711" t="str">
        <f>"79.071,00"</f>
        <v>79.071,00</v>
      </c>
    </row>
    <row r="1714" spans="1:5" x14ac:dyDescent="0.25">
      <c r="A1714" t="str">
        <f>"400"</f>
        <v>400</v>
      </c>
      <c r="B1714" t="str">
        <f>"České dráhy a.s. Praha"</f>
        <v>České dráhy a.s. Praha</v>
      </c>
      <c r="C1714" t="str">
        <f>"70994226"</f>
        <v>70994226</v>
      </c>
    </row>
    <row r="1715" spans="1:5" x14ac:dyDescent="0.25">
      <c r="A1715" t="str">
        <f>"16.06.2011"</f>
        <v>16.06.2011</v>
      </c>
      <c r="B1715" t="str">
        <f>"28.06.2011"</f>
        <v>28.06.2011</v>
      </c>
      <c r="C1715" t="str">
        <f>"22.06.2011"</f>
        <v>22.06.2011</v>
      </c>
      <c r="D1715" t="str">
        <f>"1.431,65"</f>
        <v>1.431,65</v>
      </c>
      <c r="E1715" t="str">
        <f>"1.431,65"</f>
        <v>1.431,65</v>
      </c>
    </row>
    <row r="1718" spans="1:5" x14ac:dyDescent="0.25">
      <c r="A1718" t="str">
        <f>"401"</f>
        <v>401</v>
      </c>
      <c r="B1718" t="str">
        <f>"Sagit, a.s. Ostrava"</f>
        <v>Sagit, a.s. Ostrava</v>
      </c>
      <c r="C1718" t="str">
        <f>"27776981"</f>
        <v>27776981</v>
      </c>
    </row>
    <row r="1719" spans="1:5" x14ac:dyDescent="0.25">
      <c r="A1719" t="str">
        <f>"16.06.2011"</f>
        <v>16.06.2011</v>
      </c>
      <c r="B1719" t="str">
        <f>"30.06.2011"</f>
        <v>30.06.2011</v>
      </c>
      <c r="C1719" t="str">
        <f>"22.06.2011"</f>
        <v>22.06.2011</v>
      </c>
      <c r="D1719" t="str">
        <f>"1.780,00"</f>
        <v>1.780,00</v>
      </c>
      <c r="E1719" t="str">
        <f>"1.780,00"</f>
        <v>1.780,00</v>
      </c>
    </row>
    <row r="1722" spans="1:5" x14ac:dyDescent="0.25">
      <c r="A1722" t="str">
        <f>"402"</f>
        <v>402</v>
      </c>
      <c r="B1722" t="str">
        <f>"Gordic  s.r.o. Jihlava"</f>
        <v>Gordic  s.r.o. Jihlava</v>
      </c>
      <c r="C1722" t="str">
        <f>"47903783"</f>
        <v>47903783</v>
      </c>
    </row>
    <row r="1723" spans="1:5" x14ac:dyDescent="0.25">
      <c r="A1723" t="str">
        <f>"16.06.2011"</f>
        <v>16.06.2011</v>
      </c>
      <c r="B1723" t="str">
        <f>"30.06.2011"</f>
        <v>30.06.2011</v>
      </c>
      <c r="C1723" t="str">
        <f>"23.06.2011"</f>
        <v>23.06.2011</v>
      </c>
      <c r="D1723" t="str">
        <f>"1.200,00"</f>
        <v>1.200,00</v>
      </c>
      <c r="E1723" t="str">
        <f>"1.200,00"</f>
        <v>1.200,00</v>
      </c>
    </row>
    <row r="1726" spans="1:5" x14ac:dyDescent="0.25">
      <c r="A1726" t="str">
        <f>"403"</f>
        <v>403</v>
      </c>
      <c r="B1726" t="str">
        <f>"Správa města Soběslavi"</f>
        <v>Správa města Soběslavi</v>
      </c>
      <c r="C1726" t="str">
        <f>"26029987"</f>
        <v>26029987</v>
      </c>
    </row>
    <row r="1727" spans="1:5" x14ac:dyDescent="0.25">
      <c r="A1727" t="str">
        <f>"16.06.2011"</f>
        <v>16.06.2011</v>
      </c>
      <c r="B1727" t="str">
        <f>"30.06.2011"</f>
        <v>30.06.2011</v>
      </c>
      <c r="C1727" t="str">
        <f>"23.06.2011"</f>
        <v>23.06.2011</v>
      </c>
      <c r="D1727" t="str">
        <f>"29.407,00"</f>
        <v>29.407,00</v>
      </c>
      <c r="E1727" t="str">
        <f>"29.407,00"</f>
        <v>29.407,00</v>
      </c>
    </row>
    <row r="1730" spans="1:5" x14ac:dyDescent="0.25">
      <c r="A1730" t="str">
        <f>"404"</f>
        <v>404</v>
      </c>
      <c r="B1730" t="str">
        <f>"Správa města Soběslavi"</f>
        <v>Správa města Soběslavi</v>
      </c>
      <c r="C1730" t="str">
        <f>"26029987"</f>
        <v>26029987</v>
      </c>
    </row>
    <row r="1731" spans="1:5" x14ac:dyDescent="0.25">
      <c r="A1731" t="str">
        <f>"16.06.2011"</f>
        <v>16.06.2011</v>
      </c>
      <c r="B1731" t="str">
        <f>"30.06.2011"</f>
        <v>30.06.2011</v>
      </c>
      <c r="C1731" t="str">
        <f>"23.06.2011"</f>
        <v>23.06.2011</v>
      </c>
      <c r="D1731" t="str">
        <f>"5.376,00"</f>
        <v>5.376,00</v>
      </c>
      <c r="E1731" t="str">
        <f>"5.376,00"</f>
        <v>5.376,00</v>
      </c>
    </row>
    <row r="1734" spans="1:5" x14ac:dyDescent="0.25">
      <c r="A1734" t="str">
        <f>"405"</f>
        <v>405</v>
      </c>
      <c r="B1734" t="str">
        <f>"Zásobování a.s Mělník"</f>
        <v>Zásobování a.s Mělník</v>
      </c>
      <c r="C1734" t="str">
        <f>"46354221"</f>
        <v>46354221</v>
      </c>
    </row>
    <row r="1735" spans="1:5" x14ac:dyDescent="0.25">
      <c r="A1735" t="str">
        <f>"17.06.2011"</f>
        <v>17.06.2011</v>
      </c>
      <c r="B1735" t="str">
        <f>"27.06.2011"</f>
        <v>27.06.2011</v>
      </c>
      <c r="C1735" t="str">
        <f>"27.06.2011"</f>
        <v>27.06.2011</v>
      </c>
      <c r="D1735" t="str">
        <f>"9.592,00"</f>
        <v>9.592,00</v>
      </c>
      <c r="E1735" t="str">
        <f>"9.592,00"</f>
        <v>9.592,00</v>
      </c>
    </row>
    <row r="1738" spans="1:5" x14ac:dyDescent="0.25">
      <c r="A1738" t="str">
        <f>"406"</f>
        <v>406</v>
      </c>
      <c r="B1738" t="str">
        <f>"Česká pošta, s.p. Praha"</f>
        <v>Česká pošta, s.p. Praha</v>
      </c>
      <c r="C1738" t="str">
        <f>"47114983"</f>
        <v>47114983</v>
      </c>
    </row>
    <row r="1739" spans="1:5" x14ac:dyDescent="0.25">
      <c r="A1739" t="str">
        <f>"20.06.2011"</f>
        <v>20.06.2011</v>
      </c>
      <c r="B1739" t="str">
        <f>"29.06.2011"</f>
        <v>29.06.2011</v>
      </c>
      <c r="C1739" t="str">
        <f>"27.06.2011"</f>
        <v>27.06.2011</v>
      </c>
      <c r="D1739" t="str">
        <f>"556,80"</f>
        <v>556,80</v>
      </c>
      <c r="E1739" t="str">
        <f>"556,80"</f>
        <v>556,80</v>
      </c>
    </row>
    <row r="1741" spans="1:5" x14ac:dyDescent="0.25">
      <c r="A1741" t="str">
        <f>"Poř.č.fak."</f>
        <v>Poř.č.fak.</v>
      </c>
      <c r="B1741" t="str">
        <f>"Dodavatel"</f>
        <v>Dodavatel</v>
      </c>
      <c r="C1741" t="str">
        <f>"IČO"</f>
        <v>IČO</v>
      </c>
    </row>
    <row r="1742" spans="1:5" x14ac:dyDescent="0.25">
      <c r="A1742" t="str">
        <f>"Došla"</f>
        <v>Došla</v>
      </c>
      <c r="B1742" t="str">
        <f>"Splatná"</f>
        <v>Splatná</v>
      </c>
      <c r="C1742" t="str">
        <f>"Zaplacená"</f>
        <v>Zaplacená</v>
      </c>
      <c r="D1742" t="str">
        <f>"Fakt.částka"</f>
        <v>Fakt.částka</v>
      </c>
      <c r="E1742" t="str">
        <f>"Celk.zaplaceno"</f>
        <v>Celk.zaplaceno</v>
      </c>
    </row>
    <row r="1743" spans="1:5" x14ac:dyDescent="0.25">
      <c r="B1743" t="str">
        <f>"Poznámka"</f>
        <v>Poznámka</v>
      </c>
    </row>
    <row r="1744" spans="1:5" x14ac:dyDescent="0.25">
      <c r="A1744" t="str">
        <f>"**********"</f>
        <v>**********</v>
      </c>
      <c r="B1744" t="str">
        <f>"**************************"</f>
        <v>**************************</v>
      </c>
      <c r="C1744" t="str">
        <f>"***********"</f>
        <v>***********</v>
      </c>
      <c r="D1744" t="str">
        <f>"***************"</f>
        <v>***************</v>
      </c>
      <c r="E1744" t="str">
        <f>"***************"</f>
        <v>***************</v>
      </c>
    </row>
    <row r="1746" spans="1:5" x14ac:dyDescent="0.25">
      <c r="A1746" t="str">
        <f>"407"</f>
        <v>407</v>
      </c>
      <c r="B1746" t="str">
        <f>"Česká pošta, s.p. Praha"</f>
        <v>Česká pošta, s.p. Praha</v>
      </c>
      <c r="C1746" t="str">
        <f>"47114983"</f>
        <v>47114983</v>
      </c>
    </row>
    <row r="1747" spans="1:5" x14ac:dyDescent="0.25">
      <c r="A1747" t="str">
        <f>"20.06.2011"</f>
        <v>20.06.2011</v>
      </c>
      <c r="B1747" t="str">
        <f>"29.06.2011"</f>
        <v>29.06.2011</v>
      </c>
      <c r="C1747" t="str">
        <f>"27.06.2011"</f>
        <v>27.06.2011</v>
      </c>
      <c r="D1747" t="str">
        <f>"1.188,00"</f>
        <v>1.188,00</v>
      </c>
      <c r="E1747" t="str">
        <f>"1.188,00"</f>
        <v>1.188,00</v>
      </c>
    </row>
    <row r="1750" spans="1:5" x14ac:dyDescent="0.25">
      <c r="A1750" t="str">
        <f>"408"</f>
        <v>408</v>
      </c>
      <c r="B1750" t="str">
        <f>"ČEVAK a.s. Č.Budějovice"</f>
        <v>ČEVAK a.s. Č.Budějovice</v>
      </c>
      <c r="C1750" t="str">
        <f>"60849657"</f>
        <v>60849657</v>
      </c>
    </row>
    <row r="1751" spans="1:5" x14ac:dyDescent="0.25">
      <c r="A1751" t="str">
        <f>"20.06.2011"</f>
        <v>20.06.2011</v>
      </c>
      <c r="B1751" t="str">
        <f>"01.07.2011"</f>
        <v>01.07.2011</v>
      </c>
      <c r="C1751" t="str">
        <f>"28.06.2011"</f>
        <v>28.06.2011</v>
      </c>
      <c r="D1751" t="str">
        <f>"1.753,00"</f>
        <v>1.753,00</v>
      </c>
      <c r="E1751" t="str">
        <f>"1.753,00"</f>
        <v>1.753,00</v>
      </c>
    </row>
    <row r="1754" spans="1:5" x14ac:dyDescent="0.25">
      <c r="A1754" t="str">
        <f>"409"</f>
        <v>409</v>
      </c>
      <c r="B1754" t="str">
        <f>"ČEVAK a.s. Č.Budějovice"</f>
        <v>ČEVAK a.s. Č.Budějovice</v>
      </c>
      <c r="C1754" t="str">
        <f>"60849657"</f>
        <v>60849657</v>
      </c>
    </row>
    <row r="1755" spans="1:5" x14ac:dyDescent="0.25">
      <c r="A1755" t="str">
        <f>"20.06.2011"</f>
        <v>20.06.2011</v>
      </c>
      <c r="B1755" t="str">
        <f>"01.07.2011"</f>
        <v>01.07.2011</v>
      </c>
      <c r="C1755" t="str">
        <f>"28.06.2011"</f>
        <v>28.06.2011</v>
      </c>
      <c r="D1755" t="str">
        <f>"12.851,00"</f>
        <v>12.851,00</v>
      </c>
      <c r="E1755" t="str">
        <f>"12.851,00"</f>
        <v>12.851,00</v>
      </c>
    </row>
    <row r="1758" spans="1:5" x14ac:dyDescent="0.25">
      <c r="A1758" t="str">
        <f>"410"</f>
        <v>410</v>
      </c>
      <c r="B1758" t="str">
        <f>"ČEVAK a.s. Č.Budějovice"</f>
        <v>ČEVAK a.s. Č.Budějovice</v>
      </c>
      <c r="C1758" t="str">
        <f>"60849657"</f>
        <v>60849657</v>
      </c>
    </row>
    <row r="1759" spans="1:5" x14ac:dyDescent="0.25">
      <c r="A1759" t="str">
        <f>"20.06.2011"</f>
        <v>20.06.2011</v>
      </c>
      <c r="B1759" t="str">
        <f>"01.07.2011"</f>
        <v>01.07.2011</v>
      </c>
      <c r="C1759" t="str">
        <f>"28.06.2011"</f>
        <v>28.06.2011</v>
      </c>
      <c r="D1759" t="str">
        <f>"-1.054,00"</f>
        <v>-1.054,00</v>
      </c>
      <c r="E1759" t="str">
        <f>"-1.054,00"</f>
        <v>-1.054,00</v>
      </c>
    </row>
    <row r="1762" spans="1:5" x14ac:dyDescent="0.25">
      <c r="A1762" t="str">
        <f>"411"</f>
        <v>411</v>
      </c>
      <c r="B1762" t="str">
        <f>"Štěpán Staněk Soběslav"</f>
        <v>Štěpán Staněk Soběslav</v>
      </c>
      <c r="C1762" t="str">
        <f>"62510461"</f>
        <v>62510461</v>
      </c>
    </row>
    <row r="1763" spans="1:5" x14ac:dyDescent="0.25">
      <c r="A1763" t="str">
        <f>"20.06.2011"</f>
        <v>20.06.2011</v>
      </c>
      <c r="B1763" t="str">
        <f>"27.06.2011"</f>
        <v>27.06.2011</v>
      </c>
      <c r="C1763" t="str">
        <f>"27.06.2011"</f>
        <v>27.06.2011</v>
      </c>
      <c r="D1763" t="str">
        <f>"63.000,00"</f>
        <v>63.000,00</v>
      </c>
      <c r="E1763" t="str">
        <f>"63.000,00"</f>
        <v>63.000,00</v>
      </c>
    </row>
    <row r="1766" spans="1:5" x14ac:dyDescent="0.25">
      <c r="A1766" t="str">
        <f>"413"</f>
        <v>413</v>
      </c>
      <c r="B1766" t="str">
        <f>"SAPSERVIS s.r.o. Soběslav"</f>
        <v>SAPSERVIS s.r.o. Soběslav</v>
      </c>
      <c r="C1766" t="str">
        <f>"26022761"</f>
        <v>26022761</v>
      </c>
    </row>
    <row r="1767" spans="1:5" x14ac:dyDescent="0.25">
      <c r="A1767" t="str">
        <f>"16.06.2011"</f>
        <v>16.06.2011</v>
      </c>
      <c r="B1767" t="str">
        <f>"24.06.2011"</f>
        <v>24.06.2011</v>
      </c>
      <c r="C1767" t="str">
        <f>"23.06.2011"</f>
        <v>23.06.2011</v>
      </c>
      <c r="D1767" t="str">
        <f>"1.331,00"</f>
        <v>1.331,00</v>
      </c>
      <c r="E1767" t="str">
        <f>"1.331,00"</f>
        <v>1.331,00</v>
      </c>
    </row>
    <row r="1770" spans="1:5" x14ac:dyDescent="0.25">
      <c r="A1770" t="str">
        <f>"414"</f>
        <v>414</v>
      </c>
      <c r="B1770" t="str">
        <f>"ing. Pantoflíček Soběslav"</f>
        <v>ing. Pantoflíček Soběslav</v>
      </c>
      <c r="C1770" t="str">
        <f>"18302220"</f>
        <v>18302220</v>
      </c>
    </row>
    <row r="1771" spans="1:5" x14ac:dyDescent="0.25">
      <c r="A1771" t="str">
        <f>"21.06.2011"</f>
        <v>21.06.2011</v>
      </c>
      <c r="B1771" t="str">
        <f>"01.07.2011"</f>
        <v>01.07.2011</v>
      </c>
      <c r="C1771" t="str">
        <f>"28.06.2011"</f>
        <v>28.06.2011</v>
      </c>
      <c r="D1771" t="str">
        <f>"3.600,00"</f>
        <v>3.600,00</v>
      </c>
      <c r="E1771" t="str">
        <f>"3.600,00"</f>
        <v>3.600,00</v>
      </c>
    </row>
    <row r="1774" spans="1:5" x14ac:dyDescent="0.25">
      <c r="A1774" t="str">
        <f>"415"</f>
        <v>415</v>
      </c>
      <c r="B1774" t="str">
        <f>"Jaromír Dvořák Noskov"</f>
        <v>Jaromír Dvořák Noskov</v>
      </c>
      <c r="C1774" t="str">
        <f>"45012849"</f>
        <v>45012849</v>
      </c>
    </row>
    <row r="1775" spans="1:5" x14ac:dyDescent="0.25">
      <c r="A1775" t="str">
        <f>"21.06.2011"</f>
        <v>21.06.2011</v>
      </c>
      <c r="B1775" t="str">
        <f>"30.06.2011"</f>
        <v>30.06.2011</v>
      </c>
      <c r="C1775" t="str">
        <f>"27.06.2011"</f>
        <v>27.06.2011</v>
      </c>
      <c r="D1775" t="str">
        <f>"49.566,00"</f>
        <v>49.566,00</v>
      </c>
      <c r="E1775" t="str">
        <f>"49.566,00"</f>
        <v>49.566,00</v>
      </c>
    </row>
    <row r="1778" spans="1:5" x14ac:dyDescent="0.25">
      <c r="A1778" t="str">
        <f>"416"</f>
        <v>416</v>
      </c>
      <c r="B1778" t="str">
        <f>"Elektro Legát  s.r.o."</f>
        <v>Elektro Legát  s.r.o.</v>
      </c>
      <c r="C1778" t="str">
        <f>"25162721"</f>
        <v>25162721</v>
      </c>
    </row>
    <row r="1779" spans="1:5" x14ac:dyDescent="0.25">
      <c r="A1779" t="str">
        <f>"22.06.2011"</f>
        <v>22.06.2011</v>
      </c>
      <c r="B1779" t="str">
        <f>"04.07.2011"</f>
        <v>04.07.2011</v>
      </c>
      <c r="C1779" t="str">
        <f>"01.07.2011"</f>
        <v>01.07.2011</v>
      </c>
      <c r="D1779" t="str">
        <f>"23.472,00"</f>
        <v>23.472,00</v>
      </c>
      <c r="E1779" t="str">
        <f>"23.472,00"</f>
        <v>23.472,00</v>
      </c>
    </row>
    <row r="1782" spans="1:5" x14ac:dyDescent="0.25">
      <c r="A1782" t="str">
        <f>"417"</f>
        <v>417</v>
      </c>
      <c r="B1782" t="str">
        <f>"Ing.Libor Kníže Malšice"</f>
        <v>Ing.Libor Kníže Malšice</v>
      </c>
      <c r="C1782" t="str">
        <f>"74585029"</f>
        <v>74585029</v>
      </c>
    </row>
    <row r="1783" spans="1:5" x14ac:dyDescent="0.25">
      <c r="A1783" t="str">
        <f>"22.06.2011"</f>
        <v>22.06.2011</v>
      </c>
      <c r="B1783" t="str">
        <f>"06.07.2011"</f>
        <v>06.07.2011</v>
      </c>
      <c r="C1783" t="str">
        <f>"04.07.2011"</f>
        <v>04.07.2011</v>
      </c>
      <c r="D1783" t="str">
        <f>"74.100,00"</f>
        <v>74.100,00</v>
      </c>
      <c r="E1783" t="str">
        <f>"74.100,00"</f>
        <v>74.100,00</v>
      </c>
    </row>
    <row r="1786" spans="1:5" x14ac:dyDescent="0.25">
      <c r="A1786" t="str">
        <f>"418"</f>
        <v>418</v>
      </c>
      <c r="B1786" t="str">
        <f>"Kanadské sruby Tábor"</f>
        <v>Kanadské sruby Tábor</v>
      </c>
      <c r="C1786" t="str">
        <f>"28108078"</f>
        <v>28108078</v>
      </c>
    </row>
    <row r="1787" spans="1:5" x14ac:dyDescent="0.25">
      <c r="A1787" t="str">
        <f>"23.06.2011"</f>
        <v>23.06.2011</v>
      </c>
      <c r="B1787" t="str">
        <f>"30.06.2011"</f>
        <v>30.06.2011</v>
      </c>
      <c r="C1787" t="str">
        <f>"27.06.2011"</f>
        <v>27.06.2011</v>
      </c>
      <c r="D1787" t="str">
        <f>"82.909,00"</f>
        <v>82.909,00</v>
      </c>
      <c r="E1787" t="str">
        <f>"82.909,00"</f>
        <v>82.909,00</v>
      </c>
    </row>
    <row r="1790" spans="1:5" x14ac:dyDescent="0.25">
      <c r="A1790" t="str">
        <f>"419"</f>
        <v>419</v>
      </c>
      <c r="B1790" t="str">
        <f>"Kanadské sruby Tábor"</f>
        <v>Kanadské sruby Tábor</v>
      </c>
      <c r="C1790" t="str">
        <f>"28108078"</f>
        <v>28108078</v>
      </c>
    </row>
    <row r="1791" spans="1:5" x14ac:dyDescent="0.25">
      <c r="A1791" t="str">
        <f>"23.06.2011"</f>
        <v>23.06.2011</v>
      </c>
      <c r="B1791" t="str">
        <f>"30.06.2011"</f>
        <v>30.06.2011</v>
      </c>
      <c r="C1791" t="str">
        <f>"01.07.2011"</f>
        <v>01.07.2011</v>
      </c>
      <c r="D1791" t="str">
        <f>"502.390,00"</f>
        <v>502.390,00</v>
      </c>
      <c r="E1791" t="str">
        <f>"502.390,00"</f>
        <v>502.390,00</v>
      </c>
    </row>
    <row r="1794" spans="1:5" x14ac:dyDescent="0.25">
      <c r="A1794" t="str">
        <f>"420"</f>
        <v>420</v>
      </c>
      <c r="B1794" t="str">
        <f>"Acha obec účtuje s.r.o."</f>
        <v>Acha obec účtuje s.r.o.</v>
      </c>
      <c r="C1794" t="str">
        <f>"27493091"</f>
        <v>27493091</v>
      </c>
    </row>
    <row r="1795" spans="1:5" x14ac:dyDescent="0.25">
      <c r="A1795" t="str">
        <f>"23.06.2011"</f>
        <v>23.06.2011</v>
      </c>
      <c r="B1795" t="str">
        <f>"07.07.2011"</f>
        <v>07.07.2011</v>
      </c>
      <c r="C1795" t="str">
        <f>"29.06.2011"</f>
        <v>29.06.2011</v>
      </c>
      <c r="D1795" t="str">
        <f>"4.170,00"</f>
        <v>4.170,00</v>
      </c>
      <c r="E1795" t="str">
        <f>"4.170,00"</f>
        <v>4.170,00</v>
      </c>
    </row>
    <row r="1798" spans="1:5" x14ac:dyDescent="0.25">
      <c r="A1798" t="str">
        <f>"421"</f>
        <v>421</v>
      </c>
      <c r="B1798" t="str">
        <f>"KONICA MINOLTA s.r.o."</f>
        <v>KONICA MINOLTA s.r.o.</v>
      </c>
      <c r="C1798" t="str">
        <f>"00176150"</f>
        <v>00176150</v>
      </c>
    </row>
    <row r="1799" spans="1:5" x14ac:dyDescent="0.25">
      <c r="A1799" t="str">
        <f>"24.06.2011"</f>
        <v>24.06.2011</v>
      </c>
      <c r="B1799" t="str">
        <f>"30.06.2011"</f>
        <v>30.06.2011</v>
      </c>
      <c r="C1799" t="str">
        <f>"29.06.2011"</f>
        <v>29.06.2011</v>
      </c>
      <c r="D1799" t="str">
        <f>"296,10"</f>
        <v>296,10</v>
      </c>
      <c r="E1799" t="str">
        <f>"296,10"</f>
        <v>296,10</v>
      </c>
    </row>
    <row r="1801" spans="1:5" x14ac:dyDescent="0.25">
      <c r="A1801" t="str">
        <f>"Poř.č.fak."</f>
        <v>Poř.č.fak.</v>
      </c>
      <c r="B1801" t="str">
        <f>"Dodavatel"</f>
        <v>Dodavatel</v>
      </c>
      <c r="C1801" t="str">
        <f>"IČO"</f>
        <v>IČO</v>
      </c>
    </row>
    <row r="1802" spans="1:5" x14ac:dyDescent="0.25">
      <c r="A1802" t="str">
        <f>"Došla"</f>
        <v>Došla</v>
      </c>
      <c r="B1802" t="str">
        <f>"Splatná"</f>
        <v>Splatná</v>
      </c>
      <c r="C1802" t="str">
        <f>"Zaplacená"</f>
        <v>Zaplacená</v>
      </c>
      <c r="D1802" t="str">
        <f>"Fakt.částka"</f>
        <v>Fakt.částka</v>
      </c>
      <c r="E1802" t="str">
        <f>"Celk.zaplaceno"</f>
        <v>Celk.zaplaceno</v>
      </c>
    </row>
    <row r="1803" spans="1:5" x14ac:dyDescent="0.25">
      <c r="B1803" t="str">
        <f>"Poznámka"</f>
        <v>Poznámka</v>
      </c>
    </row>
    <row r="1804" spans="1:5" x14ac:dyDescent="0.25">
      <c r="A1804" t="str">
        <f>"**********"</f>
        <v>**********</v>
      </c>
      <c r="B1804" t="str">
        <f>"**************************"</f>
        <v>**************************</v>
      </c>
      <c r="C1804" t="str">
        <f>"***********"</f>
        <v>***********</v>
      </c>
      <c r="D1804" t="str">
        <f>"***************"</f>
        <v>***************</v>
      </c>
      <c r="E1804" t="str">
        <f>"***************"</f>
        <v>***************</v>
      </c>
    </row>
    <row r="1806" spans="1:5" x14ac:dyDescent="0.25">
      <c r="A1806" t="str">
        <f>"422"</f>
        <v>422</v>
      </c>
      <c r="B1806" t="str">
        <f>"KONICA MINOLTA s.r.o."</f>
        <v>KONICA MINOLTA s.r.o.</v>
      </c>
      <c r="C1806" t="str">
        <f>"00176150"</f>
        <v>00176150</v>
      </c>
    </row>
    <row r="1807" spans="1:5" x14ac:dyDescent="0.25">
      <c r="A1807" t="str">
        <f>"24.06.2011"</f>
        <v>24.06.2011</v>
      </c>
      <c r="B1807" t="str">
        <f>"30.06.2011"</f>
        <v>30.06.2011</v>
      </c>
      <c r="C1807" t="str">
        <f>"29.06.2011"</f>
        <v>29.06.2011</v>
      </c>
      <c r="D1807" t="str">
        <f>"3.882,20"</f>
        <v>3.882,20</v>
      </c>
      <c r="E1807" t="str">
        <f>"3.882,20"</f>
        <v>3.882,20</v>
      </c>
    </row>
    <row r="1810" spans="1:5" x14ac:dyDescent="0.25">
      <c r="A1810" t="str">
        <f>"423"</f>
        <v>423</v>
      </c>
      <c r="B1810" t="str">
        <f>"KONICA MINOLTA s.r.o."</f>
        <v>KONICA MINOLTA s.r.o.</v>
      </c>
      <c r="C1810" t="str">
        <f>"00176150"</f>
        <v>00176150</v>
      </c>
    </row>
    <row r="1811" spans="1:5" x14ac:dyDescent="0.25">
      <c r="A1811" t="str">
        <f>"24.06.2011"</f>
        <v>24.06.2011</v>
      </c>
      <c r="B1811" t="str">
        <f>"30.06.2011"</f>
        <v>30.06.2011</v>
      </c>
      <c r="C1811" t="str">
        <f>"29.06.2011"</f>
        <v>29.06.2011</v>
      </c>
      <c r="D1811" t="str">
        <f>"9.371,80"</f>
        <v>9.371,80</v>
      </c>
      <c r="E1811" t="str">
        <f>"9.371,80"</f>
        <v>9.371,80</v>
      </c>
    </row>
    <row r="1814" spans="1:5" x14ac:dyDescent="0.25">
      <c r="A1814" t="str">
        <f>"424"</f>
        <v>424</v>
      </c>
      <c r="B1814" t="str">
        <f>"RUMPOLD s.r.o. Tábor"</f>
        <v>RUMPOLD s.r.o. Tábor</v>
      </c>
      <c r="C1814" t="str">
        <f>"61459364"</f>
        <v>61459364</v>
      </c>
    </row>
    <row r="1815" spans="1:5" x14ac:dyDescent="0.25">
      <c r="A1815" t="str">
        <f>"23.06.2011"</f>
        <v>23.06.2011</v>
      </c>
      <c r="B1815" t="str">
        <f>"23.07.2011"</f>
        <v>23.07.2011</v>
      </c>
      <c r="C1815" t="str">
        <f>"12.07.2011"</f>
        <v>12.07.2011</v>
      </c>
      <c r="D1815" t="str">
        <f>"625,00"</f>
        <v>625,00</v>
      </c>
      <c r="E1815" t="str">
        <f>"625,00"</f>
        <v>625,00</v>
      </c>
    </row>
    <row r="1818" spans="1:5" x14ac:dyDescent="0.25">
      <c r="A1818" t="str">
        <f>"425"</f>
        <v>425</v>
      </c>
      <c r="B1818" t="str">
        <f>"ECO  s.r.o. Tábor"</f>
        <v>ECO  s.r.o. Tábor</v>
      </c>
      <c r="C1818" t="str">
        <f>"63907828"</f>
        <v>63907828</v>
      </c>
    </row>
    <row r="1819" spans="1:5" x14ac:dyDescent="0.25">
      <c r="A1819" t="str">
        <f>"23.06.2011"</f>
        <v>23.06.2011</v>
      </c>
      <c r="B1819" t="str">
        <f>"04.07.2011"</f>
        <v>04.07.2011</v>
      </c>
      <c r="C1819" t="str">
        <f>"01.07.2011"</f>
        <v>01.07.2011</v>
      </c>
      <c r="D1819" t="str">
        <f>"21.600,00"</f>
        <v>21.600,00</v>
      </c>
      <c r="E1819" t="str">
        <f>"21.600,00"</f>
        <v>21.600,00</v>
      </c>
    </row>
    <row r="1822" spans="1:5" x14ac:dyDescent="0.25">
      <c r="A1822" t="str">
        <f>"426"</f>
        <v>426</v>
      </c>
      <c r="B1822" t="str">
        <f>"H-projekt s.r.o. Praha 4"</f>
        <v>H-projekt s.r.o. Praha 4</v>
      </c>
      <c r="C1822" t="str">
        <f>"60468653"</f>
        <v>60468653</v>
      </c>
    </row>
    <row r="1823" spans="1:5" x14ac:dyDescent="0.25">
      <c r="A1823" t="str">
        <f>"24.06.2011"</f>
        <v>24.06.2011</v>
      </c>
      <c r="B1823" t="str">
        <f>"08.07.2011"</f>
        <v>08.07.2011</v>
      </c>
      <c r="C1823" t="str">
        <f>"27.06.2011"</f>
        <v>27.06.2011</v>
      </c>
      <c r="D1823" t="str">
        <f>"30.600,00"</f>
        <v>30.600,00</v>
      </c>
      <c r="E1823" t="str">
        <f>"30.600,00"</f>
        <v>30.600,00</v>
      </c>
    </row>
    <row r="1826" spans="1:5" x14ac:dyDescent="0.25">
      <c r="A1826" t="str">
        <f>"427"</f>
        <v>427</v>
      </c>
      <c r="B1826" t="str">
        <f>"Ing. Pavel Douša Tábor"</f>
        <v>Ing. Pavel Douša Tábor</v>
      </c>
      <c r="C1826" t="str">
        <f>"10325123"</f>
        <v>10325123</v>
      </c>
    </row>
    <row r="1827" spans="1:5" x14ac:dyDescent="0.25">
      <c r="A1827" t="str">
        <f>"27.06.2011"</f>
        <v>27.06.2011</v>
      </c>
      <c r="B1827" t="str">
        <f>"07.07.2011"</f>
        <v>07.07.2011</v>
      </c>
      <c r="C1827" t="str">
        <f>"04.07.2011"</f>
        <v>04.07.2011</v>
      </c>
      <c r="D1827" t="str">
        <f>"24.000,00"</f>
        <v>24.000,00</v>
      </c>
      <c r="E1827" t="str">
        <f>"24.000,00"</f>
        <v>24.000,00</v>
      </c>
    </row>
    <row r="1830" spans="1:5" x14ac:dyDescent="0.25">
      <c r="A1830" t="str">
        <f>"428"</f>
        <v>428</v>
      </c>
      <c r="B1830" t="str">
        <f>"Václav Hrůza Praha"</f>
        <v>Václav Hrůza Praha</v>
      </c>
      <c r="C1830" t="str">
        <f>"510224114"</f>
        <v>510224114</v>
      </c>
    </row>
    <row r="1831" spans="1:5" x14ac:dyDescent="0.25">
      <c r="A1831" t="str">
        <f>"27.06.2011"</f>
        <v>27.06.2011</v>
      </c>
      <c r="B1831" t="str">
        <f>"08.07.2011"</f>
        <v>08.07.2011</v>
      </c>
      <c r="C1831" t="str">
        <f>"01.07.2011"</f>
        <v>01.07.2011</v>
      </c>
      <c r="D1831" t="str">
        <f>"80.000,00"</f>
        <v>80.000,00</v>
      </c>
      <c r="E1831" t="str">
        <f>"80.000,00"</f>
        <v>80.000,00</v>
      </c>
    </row>
    <row r="1834" spans="1:5" x14ac:dyDescent="0.25">
      <c r="A1834" t="str">
        <f>"429"</f>
        <v>429</v>
      </c>
      <c r="B1834" t="str">
        <f>"Dřevovýroba Vaněk s.r.o."</f>
        <v>Dřevovýroba Vaněk s.r.o.</v>
      </c>
      <c r="C1834" t="str">
        <f>"26088282"</f>
        <v>26088282</v>
      </c>
    </row>
    <row r="1835" spans="1:5" x14ac:dyDescent="0.25">
      <c r="A1835" t="str">
        <f>"27.06.2011"</f>
        <v>27.06.2011</v>
      </c>
      <c r="B1835" t="str">
        <f>"20.07.2011"</f>
        <v>20.07.2011</v>
      </c>
      <c r="C1835" t="str">
        <f>"28.06.2011"</f>
        <v>28.06.2011</v>
      </c>
      <c r="D1835" t="str">
        <f>"6.229,00"</f>
        <v>6.229,00</v>
      </c>
      <c r="E1835" t="str">
        <f>"6.229,00"</f>
        <v>6.229,00</v>
      </c>
    </row>
    <row r="1838" spans="1:5" x14ac:dyDescent="0.25">
      <c r="A1838" t="str">
        <f>"430"</f>
        <v>430</v>
      </c>
      <c r="B1838" t="str">
        <f>"Dřevovýroba Vaněk s.r.o."</f>
        <v>Dřevovýroba Vaněk s.r.o.</v>
      </c>
      <c r="C1838" t="str">
        <f>"26088282"</f>
        <v>26088282</v>
      </c>
    </row>
    <row r="1839" spans="1:5" x14ac:dyDescent="0.25">
      <c r="A1839" t="str">
        <f>"27.06.2011"</f>
        <v>27.06.2011</v>
      </c>
      <c r="B1839" t="str">
        <f>"20.07.2011"</f>
        <v>20.07.2011</v>
      </c>
      <c r="C1839" t="str">
        <f>"28.06.2011"</f>
        <v>28.06.2011</v>
      </c>
      <c r="D1839" t="str">
        <f>"22.464,00"</f>
        <v>22.464,00</v>
      </c>
      <c r="E1839" t="str">
        <f>"22.464,00"</f>
        <v>22.464,00</v>
      </c>
    </row>
    <row r="1842" spans="1:5" x14ac:dyDescent="0.25">
      <c r="A1842" t="str">
        <f>"431"</f>
        <v>431</v>
      </c>
      <c r="B1842" t="str">
        <f>"Dřevovýroba Vaněk s.r.o."</f>
        <v>Dřevovýroba Vaněk s.r.o.</v>
      </c>
      <c r="C1842" t="str">
        <f>"26088282"</f>
        <v>26088282</v>
      </c>
    </row>
    <row r="1843" spans="1:5" x14ac:dyDescent="0.25">
      <c r="A1843" t="str">
        <f>"27.06.2011"</f>
        <v>27.06.2011</v>
      </c>
      <c r="B1843" t="str">
        <f>"14.07.2011"</f>
        <v>14.07.2011</v>
      </c>
      <c r="C1843" t="str">
        <f>"28.06.2011"</f>
        <v>28.06.2011</v>
      </c>
      <c r="D1843" t="str">
        <f>"174.158,00"</f>
        <v>174.158,00</v>
      </c>
      <c r="E1843" t="str">
        <f>"174.158,00"</f>
        <v>174.158,00</v>
      </c>
    </row>
    <row r="1846" spans="1:5" x14ac:dyDescent="0.25">
      <c r="A1846" t="str">
        <f>"432"</f>
        <v>432</v>
      </c>
      <c r="B1846" t="str">
        <f>"Lukáš Havlíček Soběslav"</f>
        <v>Lukáš Havlíček Soběslav</v>
      </c>
      <c r="C1846" t="str">
        <f>"74504738"</f>
        <v>74504738</v>
      </c>
    </row>
    <row r="1847" spans="1:5" x14ac:dyDescent="0.25">
      <c r="A1847" t="str">
        <f>"24.06.2011"</f>
        <v>24.06.2011</v>
      </c>
      <c r="B1847" t="str">
        <f>"01.07.2011"</f>
        <v>01.07.2011</v>
      </c>
      <c r="C1847" t="str">
        <f>"01.07.2011"</f>
        <v>01.07.2011</v>
      </c>
      <c r="D1847" t="str">
        <f>"201.040,00"</f>
        <v>201.040,00</v>
      </c>
      <c r="E1847" t="str">
        <f>"201.040,00"</f>
        <v>201.040,00</v>
      </c>
    </row>
    <row r="1850" spans="1:5" x14ac:dyDescent="0.25">
      <c r="A1850" t="str">
        <f>"433"</f>
        <v>433</v>
      </c>
      <c r="B1850" t="str">
        <f>"Mrázek-sdružení FO Veselí"</f>
        <v>Mrázek-sdružení FO Veselí</v>
      </c>
      <c r="C1850" t="str">
        <f>"45001251"</f>
        <v>45001251</v>
      </c>
    </row>
    <row r="1851" spans="1:5" x14ac:dyDescent="0.25">
      <c r="A1851" t="str">
        <f>"29.06.2011"</f>
        <v>29.06.2011</v>
      </c>
      <c r="B1851" t="str">
        <f>"07.07.2011"</f>
        <v>07.07.2011</v>
      </c>
      <c r="C1851" t="str">
        <f>"07.07.2011"</f>
        <v>07.07.2011</v>
      </c>
      <c r="D1851" t="str">
        <f>"1.469,00"</f>
        <v>1.469,00</v>
      </c>
      <c r="E1851" t="str">
        <f>"1.469,00"</f>
        <v>1.469,00</v>
      </c>
    </row>
    <row r="1854" spans="1:5" x14ac:dyDescent="0.25">
      <c r="A1854" t="str">
        <f>"434"</f>
        <v>434</v>
      </c>
      <c r="B1854" t="str">
        <f>"GK ing. Dvořáček Tábor"</f>
        <v>GK ing. Dvořáček Tábor</v>
      </c>
      <c r="C1854" t="str">
        <f>"65945735"</f>
        <v>65945735</v>
      </c>
    </row>
    <row r="1855" spans="1:5" x14ac:dyDescent="0.25">
      <c r="A1855" t="str">
        <f>"29.06.2011"</f>
        <v>29.06.2011</v>
      </c>
      <c r="B1855" t="str">
        <f>"29.06.2011"</f>
        <v>29.06.2011</v>
      </c>
      <c r="C1855" t="str">
        <f>"07.07.2011"</f>
        <v>07.07.2011</v>
      </c>
      <c r="D1855" t="str">
        <f>"3.840,00"</f>
        <v>3.840,00</v>
      </c>
      <c r="E1855" t="str">
        <f>"3.840,00"</f>
        <v>3.840,00</v>
      </c>
    </row>
    <row r="1858" spans="1:5" x14ac:dyDescent="0.25">
      <c r="A1858" t="str">
        <f>"435"</f>
        <v>435</v>
      </c>
      <c r="B1858" t="str">
        <f>"Správa města Soběslavi"</f>
        <v>Správa města Soběslavi</v>
      </c>
      <c r="C1858" t="str">
        <f>"26029987"</f>
        <v>26029987</v>
      </c>
    </row>
    <row r="1859" spans="1:5" x14ac:dyDescent="0.25">
      <c r="A1859" t="str">
        <f>"29.06.2011"</f>
        <v>29.06.2011</v>
      </c>
      <c r="B1859" t="str">
        <f>"13.07.2011"</f>
        <v>13.07.2011</v>
      </c>
      <c r="C1859" t="str">
        <f>"11.07.2011"</f>
        <v>11.07.2011</v>
      </c>
      <c r="D1859" t="str">
        <f>"6.664,00"</f>
        <v>6.664,00</v>
      </c>
      <c r="E1859" t="str">
        <f>"6.664,00"</f>
        <v>6.664,00</v>
      </c>
    </row>
    <row r="1861" spans="1:5" x14ac:dyDescent="0.25">
      <c r="A1861" t="str">
        <f>"Poř.č.fak."</f>
        <v>Poř.č.fak.</v>
      </c>
      <c r="B1861" t="str">
        <f>"Dodavatel"</f>
        <v>Dodavatel</v>
      </c>
      <c r="C1861" t="str">
        <f>"IČO"</f>
        <v>IČO</v>
      </c>
    </row>
    <row r="1862" spans="1:5" x14ac:dyDescent="0.25">
      <c r="A1862" t="str">
        <f>"Došla"</f>
        <v>Došla</v>
      </c>
      <c r="B1862" t="str">
        <f>"Splatná"</f>
        <v>Splatná</v>
      </c>
      <c r="C1862" t="str">
        <f>"Zaplacená"</f>
        <v>Zaplacená</v>
      </c>
      <c r="D1862" t="str">
        <f>"Fakt.částka"</f>
        <v>Fakt.částka</v>
      </c>
      <c r="E1862" t="str">
        <f>"Celk.zaplaceno"</f>
        <v>Celk.zaplaceno</v>
      </c>
    </row>
    <row r="1863" spans="1:5" x14ac:dyDescent="0.25">
      <c r="B1863" t="str">
        <f>"Poznámka"</f>
        <v>Poznámka</v>
      </c>
    </row>
    <row r="1864" spans="1:5" x14ac:dyDescent="0.25">
      <c r="A1864" t="str">
        <f>"**********"</f>
        <v>**********</v>
      </c>
      <c r="B1864" t="str">
        <f>"**************************"</f>
        <v>**************************</v>
      </c>
      <c r="C1864" t="str">
        <f>"***********"</f>
        <v>***********</v>
      </c>
      <c r="D1864" t="str">
        <f>"***************"</f>
        <v>***************</v>
      </c>
      <c r="E1864" t="str">
        <f>"***************"</f>
        <v>***************</v>
      </c>
    </row>
    <row r="1866" spans="1:5" x14ac:dyDescent="0.25">
      <c r="A1866" t="str">
        <f>"436"</f>
        <v>436</v>
      </c>
      <c r="B1866" t="str">
        <f>"Kanadské sruby Tábor"</f>
        <v>Kanadské sruby Tábor</v>
      </c>
      <c r="C1866" t="str">
        <f>"28108078"</f>
        <v>28108078</v>
      </c>
    </row>
    <row r="1867" spans="1:5" x14ac:dyDescent="0.25">
      <c r="A1867" t="str">
        <f>"30.06.2011"</f>
        <v>30.06.2011</v>
      </c>
      <c r="B1867" t="str">
        <f>"30.06.2011"</f>
        <v>30.06.2011</v>
      </c>
      <c r="C1867" t="str">
        <f>"01.07.2011"</f>
        <v>01.07.2011</v>
      </c>
      <c r="D1867" t="str">
        <f>"36.669,00"</f>
        <v>36.669,00</v>
      </c>
      <c r="E1867" t="str">
        <f>"36.669,00"</f>
        <v>36.669,00</v>
      </c>
    </row>
    <row r="1870" spans="1:5" x14ac:dyDescent="0.25">
      <c r="A1870" t="str">
        <f>"437"</f>
        <v>437</v>
      </c>
      <c r="B1870" t="str">
        <f>"Sagit, a.s. Ostrava"</f>
        <v>Sagit, a.s. Ostrava</v>
      </c>
      <c r="C1870" t="str">
        <f>"27776981"</f>
        <v>27776981</v>
      </c>
    </row>
    <row r="1871" spans="1:5" x14ac:dyDescent="0.25">
      <c r="A1871" t="str">
        <f>"30.06.2011"</f>
        <v>30.06.2011</v>
      </c>
      <c r="B1871" t="str">
        <f>"11.07.2011"</f>
        <v>11.07.2011</v>
      </c>
      <c r="C1871" t="str">
        <f>"07.07.2011"</f>
        <v>07.07.2011</v>
      </c>
      <c r="D1871" t="str">
        <f>"396,00"</f>
        <v>396,00</v>
      </c>
      <c r="E1871" t="str">
        <f>"396,00"</f>
        <v>396,00</v>
      </c>
    </row>
    <row r="1874" spans="1:5" x14ac:dyDescent="0.25">
      <c r="A1874" t="str">
        <f>"438"</f>
        <v>438</v>
      </c>
      <c r="B1874" t="str">
        <f>"Vltava-Labe-Press a.s."</f>
        <v>Vltava-Labe-Press a.s.</v>
      </c>
      <c r="C1874" t="str">
        <f>"61860981"</f>
        <v>61860981</v>
      </c>
    </row>
    <row r="1875" spans="1:5" x14ac:dyDescent="0.25">
      <c r="A1875" t="str">
        <f>"30.06.2011"</f>
        <v>30.06.2011</v>
      </c>
      <c r="B1875" t="str">
        <f>"11.07.2011"</f>
        <v>11.07.2011</v>
      </c>
      <c r="C1875" t="str">
        <f>"07.07.2011"</f>
        <v>07.07.2011</v>
      </c>
      <c r="D1875" t="str">
        <f>"11.088,00"</f>
        <v>11.088,00</v>
      </c>
      <c r="E1875" t="str">
        <f>"11.088,00"</f>
        <v>11.088,00</v>
      </c>
    </row>
    <row r="1878" spans="1:5" x14ac:dyDescent="0.25">
      <c r="A1878" t="str">
        <f>"439"</f>
        <v>439</v>
      </c>
      <c r="B1878" t="str">
        <f>"Peter Kučera Brno"</f>
        <v>Peter Kučera Brno</v>
      </c>
      <c r="C1878" t="str">
        <f>"66515009"</f>
        <v>66515009</v>
      </c>
    </row>
    <row r="1879" spans="1:5" x14ac:dyDescent="0.25">
      <c r="A1879" t="str">
        <f>"30.06.2011"</f>
        <v>30.06.2011</v>
      </c>
      <c r="B1879" t="str">
        <f>"12.07.2011"</f>
        <v>12.07.2011</v>
      </c>
      <c r="C1879" t="str">
        <f>"11.07.2011"</f>
        <v>11.07.2011</v>
      </c>
      <c r="D1879" t="str">
        <f>"1.200,00"</f>
        <v>1.200,00</v>
      </c>
      <c r="E1879" t="str">
        <f>"1.200,00"</f>
        <v>1.200,00</v>
      </c>
    </row>
    <row r="1882" spans="1:5" x14ac:dyDescent="0.25">
      <c r="A1882" t="str">
        <f>"440"</f>
        <v>440</v>
      </c>
      <c r="B1882" t="str">
        <f>"Jednota OD Tábor"</f>
        <v>Jednota OD Tábor</v>
      </c>
      <c r="C1882" t="str">
        <f>"00031925"</f>
        <v>00031925</v>
      </c>
    </row>
    <row r="1883" spans="1:5" x14ac:dyDescent="0.25">
      <c r="A1883" t="str">
        <f>"30.06.2011"</f>
        <v>30.06.2011</v>
      </c>
      <c r="B1883" t="str">
        <f>"12.07.2011"</f>
        <v>12.07.2011</v>
      </c>
      <c r="C1883" t="str">
        <f>"11.07.2011"</f>
        <v>11.07.2011</v>
      </c>
      <c r="D1883" t="str">
        <f>"4.625,10"</f>
        <v>4.625,10</v>
      </c>
      <c r="E1883" t="str">
        <f>"4.625,10"</f>
        <v>4.625,10</v>
      </c>
    </row>
    <row r="1886" spans="1:5" x14ac:dyDescent="0.25">
      <c r="A1886" t="str">
        <f>"441"</f>
        <v>441</v>
      </c>
      <c r="B1886" t="str">
        <f>"Správa města Soběslavi"</f>
        <v>Správa města Soběslavi</v>
      </c>
      <c r="C1886" t="str">
        <f>"26029987"</f>
        <v>26029987</v>
      </c>
    </row>
    <row r="1887" spans="1:5" x14ac:dyDescent="0.25">
      <c r="A1887" t="str">
        <f>"30.06.2011"</f>
        <v>30.06.2011</v>
      </c>
      <c r="B1887" t="str">
        <f>"14.07.2011"</f>
        <v>14.07.2011</v>
      </c>
      <c r="C1887" t="str">
        <f>"11.07.2011"</f>
        <v>11.07.2011</v>
      </c>
      <c r="D1887" t="str">
        <f>"614,00"</f>
        <v>614,00</v>
      </c>
      <c r="E1887" t="str">
        <f>"614,00"</f>
        <v>614,00</v>
      </c>
    </row>
    <row r="1890" spans="1:5" x14ac:dyDescent="0.25">
      <c r="A1890" t="str">
        <f>"442"</f>
        <v>442</v>
      </c>
      <c r="B1890" t="str">
        <f>"Elektro Legát  s.r.o."</f>
        <v>Elektro Legát  s.r.o.</v>
      </c>
      <c r="C1890" t="str">
        <f>"25162721"</f>
        <v>25162721</v>
      </c>
    </row>
    <row r="1891" spans="1:5" x14ac:dyDescent="0.25">
      <c r="A1891" t="str">
        <f>"28.06.2011"</f>
        <v>28.06.2011</v>
      </c>
      <c r="B1891" t="str">
        <f>"08.07.2011"</f>
        <v>08.07.2011</v>
      </c>
      <c r="C1891" t="str">
        <f>"08.07.2011"</f>
        <v>08.07.2011</v>
      </c>
      <c r="D1891" t="str">
        <f>"59.713,00"</f>
        <v>59.713,00</v>
      </c>
      <c r="E1891" t="str">
        <f>"59.713,00"</f>
        <v>59.713,00</v>
      </c>
    </row>
    <row r="1894" spans="1:5" x14ac:dyDescent="0.25">
      <c r="A1894" t="str">
        <f>"443"</f>
        <v>443</v>
      </c>
      <c r="B1894" t="str">
        <f>"Java Třeboň"</f>
        <v>Java Třeboň</v>
      </c>
      <c r="C1894" t="str">
        <f>"15792994"</f>
        <v>15792994</v>
      </c>
    </row>
    <row r="1895" spans="1:5" x14ac:dyDescent="0.25">
      <c r="A1895" t="str">
        <f>"01.07.2011"</f>
        <v>01.07.2011</v>
      </c>
      <c r="B1895" t="str">
        <f>"10.07.2011"</f>
        <v>10.07.2011</v>
      </c>
      <c r="C1895" t="str">
        <f>"11.07.2011"</f>
        <v>11.07.2011</v>
      </c>
      <c r="D1895" t="str">
        <f>"30.800,00"</f>
        <v>30.800,00</v>
      </c>
      <c r="E1895" t="str">
        <f>"30.800,00"</f>
        <v>30.800,00</v>
      </c>
    </row>
    <row r="1898" spans="1:5" x14ac:dyDescent="0.25">
      <c r="A1898" t="str">
        <f>"444"</f>
        <v>444</v>
      </c>
      <c r="B1898" t="str">
        <f>"Lukucz Michal"</f>
        <v>Lukucz Michal</v>
      </c>
      <c r="C1898" t="str">
        <f>"45016968"</f>
        <v>45016968</v>
      </c>
    </row>
    <row r="1899" spans="1:5" x14ac:dyDescent="0.25">
      <c r="A1899" t="str">
        <f>"01.07.2011"</f>
        <v>01.07.2011</v>
      </c>
      <c r="B1899" t="str">
        <f>"12.07.2011"</f>
        <v>12.07.2011</v>
      </c>
      <c r="C1899" t="str">
        <f>"11.07.2011"</f>
        <v>11.07.2011</v>
      </c>
      <c r="D1899" t="str">
        <f>"108.300,00"</f>
        <v>108.300,00</v>
      </c>
      <c r="E1899" t="str">
        <f>"108.300,00"</f>
        <v>108.300,00</v>
      </c>
    </row>
    <row r="1902" spans="1:5" x14ac:dyDescent="0.25">
      <c r="A1902" t="str">
        <f>"445"</f>
        <v>445</v>
      </c>
      <c r="B1902" t="str">
        <f>"DCS Systems,s.r.o. Praha"</f>
        <v>DCS Systems,s.r.o. Praha</v>
      </c>
      <c r="C1902" t="str">
        <f>"26178842"</f>
        <v>26178842</v>
      </c>
    </row>
    <row r="1903" spans="1:5" x14ac:dyDescent="0.25">
      <c r="A1903" t="str">
        <f>"07.07.2011"</f>
        <v>07.07.2011</v>
      </c>
      <c r="B1903" t="str">
        <f>"12.07.2011"</f>
        <v>12.07.2011</v>
      </c>
      <c r="C1903" t="str">
        <f>"11.07.2011"</f>
        <v>11.07.2011</v>
      </c>
      <c r="D1903" t="str">
        <f>"1.200,00"</f>
        <v>1.200,00</v>
      </c>
      <c r="E1903" t="str">
        <f>"1.200,00"</f>
        <v>1.200,00</v>
      </c>
    </row>
    <row r="1906" spans="1:5" x14ac:dyDescent="0.25">
      <c r="A1906" t="str">
        <f>"446"</f>
        <v>446</v>
      </c>
      <c r="B1906" t="str">
        <f>"Elektro Novák Soběslav"</f>
        <v>Elektro Novák Soběslav</v>
      </c>
      <c r="C1906" t="str">
        <f>"25199935"</f>
        <v>25199935</v>
      </c>
    </row>
    <row r="1907" spans="1:5" x14ac:dyDescent="0.25">
      <c r="A1907" t="str">
        <f>"08.07.2011"</f>
        <v>08.07.2011</v>
      </c>
      <c r="B1907" t="str">
        <f>"07.07.2011"</f>
        <v>07.07.2011</v>
      </c>
      <c r="C1907" t="str">
        <f>"11.07.2011"</f>
        <v>11.07.2011</v>
      </c>
      <c r="D1907" t="str">
        <f>"6.742,00"</f>
        <v>6.742,00</v>
      </c>
      <c r="E1907" t="str">
        <f>"6.742,00"</f>
        <v>6.742,00</v>
      </c>
    </row>
    <row r="1910" spans="1:5" x14ac:dyDescent="0.25">
      <c r="A1910" t="str">
        <f>"447"</f>
        <v>447</v>
      </c>
      <c r="B1910" t="str">
        <f>"Truhlářství Doležal Soběs"</f>
        <v>Truhlářství Doležal Soběs</v>
      </c>
      <c r="C1910" t="str">
        <f>"49034243"</f>
        <v>49034243</v>
      </c>
    </row>
    <row r="1911" spans="1:5" x14ac:dyDescent="0.25">
      <c r="A1911" t="str">
        <f>"01.07.2011"</f>
        <v>01.07.2011</v>
      </c>
      <c r="B1911" t="str">
        <f>"14.07.2011"</f>
        <v>14.07.2011</v>
      </c>
      <c r="C1911" t="str">
        <f>"04.07.2011"</f>
        <v>04.07.2011</v>
      </c>
      <c r="D1911" t="str">
        <f>"75.480,00"</f>
        <v>75.480,00</v>
      </c>
      <c r="E1911" t="str">
        <f>"75.480,00"</f>
        <v>75.480,00</v>
      </c>
    </row>
    <row r="1914" spans="1:5" x14ac:dyDescent="0.25">
      <c r="A1914" t="str">
        <f>"448"</f>
        <v>448</v>
      </c>
      <c r="B1914" t="str">
        <f>"Jiří Barbořík Tábor"</f>
        <v>Jiří Barbořík Tábor</v>
      </c>
      <c r="C1914" t="str">
        <f>"62546431"</f>
        <v>62546431</v>
      </c>
    </row>
    <row r="1915" spans="1:5" x14ac:dyDescent="0.25">
      <c r="A1915" t="str">
        <f>"01.07.2011"</f>
        <v>01.07.2011</v>
      </c>
      <c r="B1915" t="str">
        <f>"02.07.2011"</f>
        <v>02.07.2011</v>
      </c>
      <c r="C1915" t="str">
        <f>"04.07.2011"</f>
        <v>04.07.2011</v>
      </c>
      <c r="D1915" t="str">
        <f>"141.288,00"</f>
        <v>141.288,00</v>
      </c>
      <c r="E1915" t="str">
        <f>"141.288,00"</f>
        <v>141.288,00</v>
      </c>
    </row>
    <row r="1918" spans="1:5" x14ac:dyDescent="0.25">
      <c r="A1918" t="str">
        <f>"449"</f>
        <v>449</v>
      </c>
      <c r="B1918" t="str">
        <f>"SWARCO TRAFFIC s.r.o. Pra"</f>
        <v>SWARCO TRAFFIC s.r.o. Pra</v>
      </c>
      <c r="C1918" t="str">
        <f>"25680595"</f>
        <v>25680595</v>
      </c>
    </row>
    <row r="1919" spans="1:5" x14ac:dyDescent="0.25">
      <c r="A1919" t="str">
        <f>"01.07.2011"</f>
        <v>01.07.2011</v>
      </c>
      <c r="B1919" t="str">
        <f>"13.07.2011"</f>
        <v>13.07.2011</v>
      </c>
      <c r="C1919" t="str">
        <f>"12.07.2011"</f>
        <v>12.07.2011</v>
      </c>
      <c r="D1919" t="str">
        <f>"7.644,00"</f>
        <v>7.644,00</v>
      </c>
      <c r="E1919" t="str">
        <f>"7.644,00"</f>
        <v>7.644,00</v>
      </c>
    </row>
    <row r="1921" spans="1:5" x14ac:dyDescent="0.25">
      <c r="A1921" t="str">
        <f>"Poř.č.fak."</f>
        <v>Poř.č.fak.</v>
      </c>
      <c r="B1921" t="str">
        <f>"Dodavatel"</f>
        <v>Dodavatel</v>
      </c>
      <c r="C1921" t="str">
        <f>"IČO"</f>
        <v>IČO</v>
      </c>
    </row>
    <row r="1922" spans="1:5" x14ac:dyDescent="0.25">
      <c r="A1922" t="str">
        <f>"Došla"</f>
        <v>Došla</v>
      </c>
      <c r="B1922" t="str">
        <f>"Splatná"</f>
        <v>Splatná</v>
      </c>
      <c r="C1922" t="str">
        <f>"Zaplacená"</f>
        <v>Zaplacená</v>
      </c>
      <c r="D1922" t="str">
        <f>"Fakt.částka"</f>
        <v>Fakt.částka</v>
      </c>
      <c r="E1922" t="str">
        <f>"Celk.zaplaceno"</f>
        <v>Celk.zaplaceno</v>
      </c>
    </row>
    <row r="1923" spans="1:5" x14ac:dyDescent="0.25">
      <c r="B1923" t="str">
        <f>"Poznámka"</f>
        <v>Poznámka</v>
      </c>
    </row>
    <row r="1924" spans="1:5" x14ac:dyDescent="0.25">
      <c r="A1924" t="str">
        <f>"**********"</f>
        <v>**********</v>
      </c>
      <c r="B1924" t="str">
        <f>"**************************"</f>
        <v>**************************</v>
      </c>
      <c r="C1924" t="str">
        <f>"***********"</f>
        <v>***********</v>
      </c>
      <c r="D1924" t="str">
        <f>"***************"</f>
        <v>***************</v>
      </c>
      <c r="E1924" t="str">
        <f>"***************"</f>
        <v>***************</v>
      </c>
    </row>
    <row r="1926" spans="1:5" x14ac:dyDescent="0.25">
      <c r="A1926" t="str">
        <f>"450"</f>
        <v>450</v>
      </c>
      <c r="B1926" t="str">
        <f>"Hajný-T s.r.o."</f>
        <v>Hajný-T s.r.o.</v>
      </c>
      <c r="C1926" t="str">
        <f>"63886839"</f>
        <v>63886839</v>
      </c>
    </row>
    <row r="1927" spans="1:5" x14ac:dyDescent="0.25">
      <c r="A1927" t="str">
        <f>"01.07.2011"</f>
        <v>01.07.2011</v>
      </c>
      <c r="B1927" t="str">
        <f>"15.07.2011"</f>
        <v>15.07.2011</v>
      </c>
      <c r="C1927" t="str">
        <f>"12.07.2011"</f>
        <v>12.07.2011</v>
      </c>
      <c r="D1927" t="str">
        <f>"2.000,00"</f>
        <v>2.000,00</v>
      </c>
      <c r="E1927" t="str">
        <f>"2.000,00"</f>
        <v>2.000,00</v>
      </c>
    </row>
    <row r="1930" spans="1:5" x14ac:dyDescent="0.25">
      <c r="A1930" t="str">
        <f>"451"</f>
        <v>451</v>
      </c>
      <c r="B1930" t="str">
        <f>"PAMĚTNÍK s.r.o. Kladno"</f>
        <v>PAMĚTNÍK s.r.o. Kladno</v>
      </c>
      <c r="C1930" t="str">
        <f>"27197760"</f>
        <v>27197760</v>
      </c>
    </row>
    <row r="1931" spans="1:5" x14ac:dyDescent="0.25">
      <c r="A1931" t="str">
        <f>"01.07.2011"</f>
        <v>01.07.2011</v>
      </c>
      <c r="B1931" t="str">
        <f>"15.07.2011"</f>
        <v>15.07.2011</v>
      </c>
      <c r="C1931" t="str">
        <f>"12.07.2011"</f>
        <v>12.07.2011</v>
      </c>
      <c r="D1931" t="str">
        <f>"3.504,00"</f>
        <v>3.504,00</v>
      </c>
      <c r="E1931" t="str">
        <f>"3.504,00"</f>
        <v>3.504,00</v>
      </c>
    </row>
    <row r="1934" spans="1:5" x14ac:dyDescent="0.25">
      <c r="A1934" t="str">
        <f>"452"</f>
        <v>452</v>
      </c>
      <c r="B1934" t="str">
        <f>"Dana Adámková Soběslav"</f>
        <v>Dana Adámková Soběslav</v>
      </c>
      <c r="C1934" t="str">
        <f>"71772839"</f>
        <v>71772839</v>
      </c>
    </row>
    <row r="1935" spans="1:5" x14ac:dyDescent="0.25">
      <c r="A1935" t="str">
        <f>"01.07.2011"</f>
        <v>01.07.2011</v>
      </c>
      <c r="B1935" t="str">
        <f>"15.07.2011"</f>
        <v>15.07.2011</v>
      </c>
      <c r="C1935" t="str">
        <f>"12.07.2011"</f>
        <v>12.07.2011</v>
      </c>
      <c r="D1935" t="str">
        <f>"7.350,00"</f>
        <v>7.350,00</v>
      </c>
      <c r="E1935" t="str">
        <f>"7.350,00"</f>
        <v>7.350,00</v>
      </c>
    </row>
    <row r="1938" spans="1:5" x14ac:dyDescent="0.25">
      <c r="A1938" t="str">
        <f>"453"</f>
        <v>453</v>
      </c>
      <c r="B1938" t="str">
        <f>"Reklamní ateliér s.r.o."</f>
        <v>Reklamní ateliér s.r.o.</v>
      </c>
      <c r="C1938" t="str">
        <f>"46683160"</f>
        <v>46683160</v>
      </c>
    </row>
    <row r="1939" spans="1:5" x14ac:dyDescent="0.25">
      <c r="A1939" t="str">
        <f>"04.07.2011"</f>
        <v>04.07.2011</v>
      </c>
      <c r="B1939" t="str">
        <f>"18.07.2011"</f>
        <v>18.07.2011</v>
      </c>
      <c r="C1939" t="str">
        <f>"13.07.2011"</f>
        <v>13.07.2011</v>
      </c>
      <c r="D1939" t="str">
        <f>"9.020,00"</f>
        <v>9.020,00</v>
      </c>
      <c r="E1939" t="str">
        <f>"9.020,00"</f>
        <v>9.020,00</v>
      </c>
    </row>
    <row r="1942" spans="1:5" x14ac:dyDescent="0.25">
      <c r="A1942" t="str">
        <f>"454"</f>
        <v>454</v>
      </c>
      <c r="B1942" t="str">
        <f>"STRABAG a.s. Soběslav"</f>
        <v>STRABAG a.s. Soběslav</v>
      </c>
      <c r="C1942" t="str">
        <f>"60838744"</f>
        <v>60838744</v>
      </c>
    </row>
    <row r="1943" spans="1:5" x14ac:dyDescent="0.25">
      <c r="A1943" t="str">
        <f>"01.07.2011"</f>
        <v>01.07.2011</v>
      </c>
      <c r="B1943" t="str">
        <f>"31.08.2011"</f>
        <v>31.08.2011</v>
      </c>
      <c r="C1943" t="str">
        <f>"26.08.2011"</f>
        <v>26.08.2011</v>
      </c>
      <c r="D1943" t="str">
        <f>"644.389,20"</f>
        <v>644.389,20</v>
      </c>
      <c r="E1943" t="str">
        <f>"644.389,20"</f>
        <v>644.389,20</v>
      </c>
    </row>
    <row r="1946" spans="1:5" x14ac:dyDescent="0.25">
      <c r="A1946" t="str">
        <f>"455"</f>
        <v>455</v>
      </c>
      <c r="B1946" t="str">
        <f>"Hajný-T s.r.o."</f>
        <v>Hajný-T s.r.o.</v>
      </c>
      <c r="C1946" t="str">
        <f>"63886839"</f>
        <v>63886839</v>
      </c>
    </row>
    <row r="1947" spans="1:5" x14ac:dyDescent="0.25">
      <c r="A1947" t="str">
        <f>"04.07.2011"</f>
        <v>04.07.2011</v>
      </c>
      <c r="B1947" t="str">
        <f>"14.07.2011"</f>
        <v>14.07.2011</v>
      </c>
      <c r="C1947" t="str">
        <f>"12.07.2011"</f>
        <v>12.07.2011</v>
      </c>
      <c r="D1947" t="str">
        <f>"1.379,00"</f>
        <v>1.379,00</v>
      </c>
      <c r="E1947" t="str">
        <f>"1.379,00"</f>
        <v>1.379,00</v>
      </c>
    </row>
    <row r="1950" spans="1:5" x14ac:dyDescent="0.25">
      <c r="A1950" t="str">
        <f>"456"</f>
        <v>456</v>
      </c>
      <c r="B1950" t="str">
        <f>"ACTIVA s.r.o. Praha 9"</f>
        <v>ACTIVA s.r.o. Praha 9</v>
      </c>
      <c r="C1950" t="str">
        <f>"48111198"</f>
        <v>48111198</v>
      </c>
    </row>
    <row r="1951" spans="1:5" x14ac:dyDescent="0.25">
      <c r="A1951" t="str">
        <f>"04.07.2011"</f>
        <v>04.07.2011</v>
      </c>
      <c r="B1951" t="str">
        <f>"15.07.2011"</f>
        <v>15.07.2011</v>
      </c>
      <c r="C1951" t="str">
        <f>"12.07.2011"</f>
        <v>12.07.2011</v>
      </c>
      <c r="D1951" t="str">
        <f>"5.705,00"</f>
        <v>5.705,00</v>
      </c>
      <c r="E1951" t="str">
        <f>"5.705,00"</f>
        <v>5.705,00</v>
      </c>
    </row>
    <row r="1954" spans="1:5" x14ac:dyDescent="0.25">
      <c r="A1954" t="str">
        <f>"457"</f>
        <v>457</v>
      </c>
      <c r="B1954" t="str">
        <f>"JIHOSTAV s.r.o. Soběslav"</f>
        <v>JIHOSTAV s.r.o. Soběslav</v>
      </c>
      <c r="C1954" t="str">
        <f>"47239484"</f>
        <v>47239484</v>
      </c>
    </row>
    <row r="1955" spans="1:5" x14ac:dyDescent="0.25">
      <c r="A1955" t="str">
        <f>"04.07.2011"</f>
        <v>04.07.2011</v>
      </c>
      <c r="B1955" t="str">
        <f>"14.07.2011"</f>
        <v>14.07.2011</v>
      </c>
      <c r="C1955" t="str">
        <f>"12.07.2011"</f>
        <v>12.07.2011</v>
      </c>
      <c r="D1955" t="str">
        <f>"480.878,00"</f>
        <v>480.878,00</v>
      </c>
      <c r="E1955" t="str">
        <f>"480.878,00"</f>
        <v>480.878,00</v>
      </c>
    </row>
    <row r="1958" spans="1:5" x14ac:dyDescent="0.25">
      <c r="A1958" t="str">
        <f>"458"</f>
        <v>458</v>
      </c>
      <c r="B1958" t="str">
        <f>"S a T CZ s.r.o. Praha 4"</f>
        <v>S a T CZ s.r.o. Praha 4</v>
      </c>
      <c r="C1958" t="str">
        <f>"44846029"</f>
        <v>44846029</v>
      </c>
    </row>
    <row r="1959" spans="1:5" x14ac:dyDescent="0.25">
      <c r="A1959" t="str">
        <f>"07.07.2011"</f>
        <v>07.07.2011</v>
      </c>
      <c r="B1959" t="str">
        <f>"14.07.2011"</f>
        <v>14.07.2011</v>
      </c>
      <c r="C1959" t="str">
        <f>"13.07.2011"</f>
        <v>13.07.2011</v>
      </c>
      <c r="D1959" t="str">
        <f>"10.200,00"</f>
        <v>10.200,00</v>
      </c>
      <c r="E1959" t="str">
        <f>"10.200,00"</f>
        <v>10.200,00</v>
      </c>
    </row>
    <row r="1962" spans="1:5" x14ac:dyDescent="0.25">
      <c r="A1962" t="str">
        <f>"459"</f>
        <v>459</v>
      </c>
      <c r="B1962" t="str">
        <f>"GEOVAP s.r.o. Pardubice"</f>
        <v>GEOVAP s.r.o. Pardubice</v>
      </c>
      <c r="C1962" t="str">
        <f>"15049248"</f>
        <v>15049248</v>
      </c>
    </row>
    <row r="1963" spans="1:5" x14ac:dyDescent="0.25">
      <c r="A1963" t="str">
        <f>"07.07.2011"</f>
        <v>07.07.2011</v>
      </c>
      <c r="B1963" t="str">
        <f>"18.07.2011"</f>
        <v>18.07.2011</v>
      </c>
      <c r="C1963" t="str">
        <f>"13.07.2011"</f>
        <v>13.07.2011</v>
      </c>
      <c r="D1963" t="str">
        <f>"2.000,00"</f>
        <v>2.000,00</v>
      </c>
      <c r="E1963" t="str">
        <f>"2.000,00"</f>
        <v>2.000,00</v>
      </c>
    </row>
    <row r="1966" spans="1:5" x14ac:dyDescent="0.25">
      <c r="A1966" t="str">
        <f>"460"</f>
        <v>460</v>
      </c>
      <c r="B1966" t="str">
        <f>"GEOVAP s.r.o. Pardubice"</f>
        <v>GEOVAP s.r.o. Pardubice</v>
      </c>
      <c r="C1966" t="str">
        <f>"15049248"</f>
        <v>15049248</v>
      </c>
    </row>
    <row r="1967" spans="1:5" x14ac:dyDescent="0.25">
      <c r="A1967" t="str">
        <f>"07.07.2011"</f>
        <v>07.07.2011</v>
      </c>
      <c r="B1967" t="str">
        <f>"18.07.2011"</f>
        <v>18.07.2011</v>
      </c>
      <c r="C1967" t="str">
        <f>"13.07.2011"</f>
        <v>13.07.2011</v>
      </c>
      <c r="D1967" t="str">
        <f>"5.010,00"</f>
        <v>5.010,00</v>
      </c>
      <c r="E1967" t="str">
        <f>"5.010,00"</f>
        <v>5.010,00</v>
      </c>
    </row>
    <row r="1970" spans="1:5" x14ac:dyDescent="0.25">
      <c r="A1970" t="str">
        <f>"461"</f>
        <v>461</v>
      </c>
      <c r="B1970" t="str">
        <f>"Správa města Soběslavi"</f>
        <v>Správa města Soběslavi</v>
      </c>
      <c r="C1970" t="str">
        <f>"26029987"</f>
        <v>26029987</v>
      </c>
    </row>
    <row r="1971" spans="1:5" x14ac:dyDescent="0.25">
      <c r="A1971" t="str">
        <f>"07.07.2011"</f>
        <v>07.07.2011</v>
      </c>
      <c r="B1971" t="str">
        <f>"21.07.2011"</f>
        <v>21.07.2011</v>
      </c>
      <c r="C1971" t="str">
        <f>"14.07.2011"</f>
        <v>14.07.2011</v>
      </c>
      <c r="D1971" t="str">
        <f>"26.004,00"</f>
        <v>26.004,00</v>
      </c>
      <c r="E1971" t="str">
        <f>"26.004,00"</f>
        <v>26.004,00</v>
      </c>
    </row>
    <row r="1974" spans="1:5" x14ac:dyDescent="0.25">
      <c r="A1974" t="str">
        <f>"462"</f>
        <v>462</v>
      </c>
      <c r="B1974" t="str">
        <f>"Elektroprof a.s. Praha 8"</f>
        <v>Elektroprof a.s. Praha 8</v>
      </c>
      <c r="C1974" t="str">
        <f>"25175203"</f>
        <v>25175203</v>
      </c>
    </row>
    <row r="1975" spans="1:5" x14ac:dyDescent="0.25">
      <c r="A1975" t="str">
        <f>"07.07.2011"</f>
        <v>07.07.2011</v>
      </c>
      <c r="B1975" t="str">
        <f>"21.07.2011"</f>
        <v>21.07.2011</v>
      </c>
      <c r="C1975" t="str">
        <f>"11.07.2011"</f>
        <v>11.07.2011</v>
      </c>
      <c r="D1975" t="str">
        <f>"40.997,00"</f>
        <v>40.997,00</v>
      </c>
      <c r="E1975" t="str">
        <f>"40.997,00"</f>
        <v>40.997,00</v>
      </c>
    </row>
    <row r="1978" spans="1:5" x14ac:dyDescent="0.25">
      <c r="A1978" t="str">
        <f>"463"</f>
        <v>463</v>
      </c>
      <c r="B1978" t="str">
        <f>"Telefónica 02 CR, a.s."</f>
        <v>Telefónica 02 CR, a.s.</v>
      </c>
      <c r="C1978" t="str">
        <f>"60193336"</f>
        <v>60193336</v>
      </c>
    </row>
    <row r="1979" spans="1:5" x14ac:dyDescent="0.25">
      <c r="A1979" t="str">
        <f>"08.07.2011"</f>
        <v>08.07.2011</v>
      </c>
      <c r="B1979" t="str">
        <f>"18.07.2011"</f>
        <v>18.07.2011</v>
      </c>
      <c r="C1979" t="str">
        <f>"13.07.2011"</f>
        <v>13.07.2011</v>
      </c>
      <c r="D1979" t="str">
        <f>"46,31"</f>
        <v>46,31</v>
      </c>
      <c r="E1979" t="str">
        <f>"46,31"</f>
        <v>46,31</v>
      </c>
    </row>
    <row r="1981" spans="1:5" x14ac:dyDescent="0.25">
      <c r="A1981" t="str">
        <f>"Poř.č.fak."</f>
        <v>Poř.č.fak.</v>
      </c>
      <c r="B1981" t="str">
        <f>"Dodavatel"</f>
        <v>Dodavatel</v>
      </c>
      <c r="C1981" t="str">
        <f>"IČO"</f>
        <v>IČO</v>
      </c>
    </row>
    <row r="1982" spans="1:5" x14ac:dyDescent="0.25">
      <c r="A1982" t="str">
        <f>"Došla"</f>
        <v>Došla</v>
      </c>
      <c r="B1982" t="str">
        <f>"Splatná"</f>
        <v>Splatná</v>
      </c>
      <c r="C1982" t="str">
        <f>"Zaplacená"</f>
        <v>Zaplacená</v>
      </c>
      <c r="D1982" t="str">
        <f>"Fakt.částka"</f>
        <v>Fakt.částka</v>
      </c>
      <c r="E1982" t="str">
        <f>"Celk.zaplaceno"</f>
        <v>Celk.zaplaceno</v>
      </c>
    </row>
    <row r="1983" spans="1:5" x14ac:dyDescent="0.25">
      <c r="B1983" t="str">
        <f>"Poznámka"</f>
        <v>Poznámka</v>
      </c>
    </row>
    <row r="1984" spans="1:5" x14ac:dyDescent="0.25">
      <c r="A1984" t="str">
        <f>"**********"</f>
        <v>**********</v>
      </c>
      <c r="B1984" t="str">
        <f>"**************************"</f>
        <v>**************************</v>
      </c>
      <c r="C1984" t="str">
        <f>"***********"</f>
        <v>***********</v>
      </c>
      <c r="D1984" t="str">
        <f>"***************"</f>
        <v>***************</v>
      </c>
      <c r="E1984" t="str">
        <f>"***************"</f>
        <v>***************</v>
      </c>
    </row>
    <row r="1986" spans="1:5" x14ac:dyDescent="0.25">
      <c r="A1986" t="str">
        <f>"464"</f>
        <v>464</v>
      </c>
      <c r="B1986" t="str">
        <f>"IIS Tábor s.r.o."</f>
        <v>IIS Tábor s.r.o.</v>
      </c>
      <c r="C1986" t="str">
        <f>"43832831"</f>
        <v>43832831</v>
      </c>
    </row>
    <row r="1987" spans="1:5" x14ac:dyDescent="0.25">
      <c r="A1987" t="str">
        <f>"08.07.2011"</f>
        <v>08.07.2011</v>
      </c>
      <c r="B1987" t="str">
        <f>"21.07.2011"</f>
        <v>21.07.2011</v>
      </c>
      <c r="C1987" t="str">
        <f>"14.07.2011"</f>
        <v>14.07.2011</v>
      </c>
      <c r="D1987" t="str">
        <f>"4.352,40"</f>
        <v>4.352,40</v>
      </c>
      <c r="E1987" t="str">
        <f>"4.352,40"</f>
        <v>4.352,40</v>
      </c>
    </row>
    <row r="1990" spans="1:5" x14ac:dyDescent="0.25">
      <c r="A1990" t="str">
        <f>"465"</f>
        <v>465</v>
      </c>
      <c r="B1990" t="str">
        <f>"RUMPOLD s.r.o. Tábor"</f>
        <v>RUMPOLD s.r.o. Tábor</v>
      </c>
      <c r="C1990" t="str">
        <f>"61459364"</f>
        <v>61459364</v>
      </c>
    </row>
    <row r="1991" spans="1:5" x14ac:dyDescent="0.25">
      <c r="A1991" t="str">
        <f>"08.07.2011"</f>
        <v>08.07.2011</v>
      </c>
      <c r="B1991" t="str">
        <f>"22.07.2011"</f>
        <v>22.07.2011</v>
      </c>
      <c r="C1991" t="str">
        <f>"21.07.2011"</f>
        <v>21.07.2011</v>
      </c>
      <c r="D1991" t="str">
        <f>"111.406,63"</f>
        <v>111.406,63</v>
      </c>
      <c r="E1991" t="str">
        <f>"111.406,63"</f>
        <v>111.406,63</v>
      </c>
    </row>
    <row r="1994" spans="1:5" x14ac:dyDescent="0.25">
      <c r="A1994" t="str">
        <f>"466"</f>
        <v>466</v>
      </c>
      <c r="B1994" t="str">
        <f>"RUMPOLD s.r.o. Tábor"</f>
        <v>RUMPOLD s.r.o. Tábor</v>
      </c>
      <c r="C1994" t="str">
        <f>"61459364"</f>
        <v>61459364</v>
      </c>
    </row>
    <row r="1995" spans="1:5" x14ac:dyDescent="0.25">
      <c r="A1995" t="str">
        <f>"08.07.2011"</f>
        <v>08.07.2011</v>
      </c>
      <c r="B1995" t="str">
        <f>"22.07.2011"</f>
        <v>22.07.2011</v>
      </c>
      <c r="C1995" t="str">
        <f>"21.07.2011"</f>
        <v>21.07.2011</v>
      </c>
      <c r="D1995" t="str">
        <f>"942.604,40"</f>
        <v>942.604,40</v>
      </c>
      <c r="E1995" t="str">
        <f>"942.604,40"</f>
        <v>942.604,40</v>
      </c>
    </row>
    <row r="1998" spans="1:5" x14ac:dyDescent="0.25">
      <c r="A1998" t="str">
        <f>"467"</f>
        <v>467</v>
      </c>
      <c r="B1998" t="str">
        <f>"Správa města Soběslavi"</f>
        <v>Správa města Soběslavi</v>
      </c>
      <c r="C1998" t="str">
        <f>"26029987"</f>
        <v>26029987</v>
      </c>
    </row>
    <row r="1999" spans="1:5" x14ac:dyDescent="0.25">
      <c r="A1999" t="str">
        <f>"08.07.2011"</f>
        <v>08.07.2011</v>
      </c>
      <c r="B1999" t="str">
        <f>"22.07.2011"</f>
        <v>22.07.2011</v>
      </c>
      <c r="C1999" t="str">
        <f>"21.07.2011"</f>
        <v>21.07.2011</v>
      </c>
      <c r="D1999" t="str">
        <f>"940.000,00"</f>
        <v>940.000,00</v>
      </c>
      <c r="E1999" t="str">
        <f>"940.000,00"</f>
        <v>940.000,00</v>
      </c>
    </row>
    <row r="2002" spans="1:5" x14ac:dyDescent="0.25">
      <c r="A2002" t="str">
        <f>"468"</f>
        <v>468</v>
      </c>
      <c r="B2002" t="str">
        <f>"BENZINA ,s.r.o. Praha 4"</f>
        <v>BENZINA ,s.r.o. Praha 4</v>
      </c>
      <c r="C2002" t="str">
        <f>"60193328"</f>
        <v>60193328</v>
      </c>
    </row>
    <row r="2003" spans="1:5" x14ac:dyDescent="0.25">
      <c r="A2003" t="str">
        <f>"11.07.2011"</f>
        <v>11.07.2011</v>
      </c>
      <c r="B2003" t="str">
        <f>"08.07.2011"</f>
        <v>08.07.2011</v>
      </c>
      <c r="C2003" t="str">
        <f>"08.07.2011"</f>
        <v>08.07.2011</v>
      </c>
      <c r="D2003" t="str">
        <f>"14.524,93"</f>
        <v>14.524,93</v>
      </c>
      <c r="E2003" t="str">
        <f>"14.524,93"</f>
        <v>14.524,93</v>
      </c>
    </row>
    <row r="2006" spans="1:5" x14ac:dyDescent="0.25">
      <c r="A2006" t="str">
        <f>"469"</f>
        <v>469</v>
      </c>
      <c r="B2006" t="str">
        <f>"Telefónica 02 CR, a.s."</f>
        <v>Telefónica 02 CR, a.s.</v>
      </c>
      <c r="C2006" t="str">
        <f>"60193336"</f>
        <v>60193336</v>
      </c>
    </row>
    <row r="2007" spans="1:5" x14ac:dyDescent="0.25">
      <c r="A2007" t="str">
        <f>"11.07.2011"</f>
        <v>11.07.2011</v>
      </c>
      <c r="B2007" t="str">
        <f>"15.07.2011"</f>
        <v>15.07.2011</v>
      </c>
      <c r="C2007" t="str">
        <f>"15.07.2011"</f>
        <v>15.07.2011</v>
      </c>
      <c r="D2007" t="str">
        <f>"24.152,10"</f>
        <v>24.152,10</v>
      </c>
      <c r="E2007" t="str">
        <f>"24.152,10"</f>
        <v>24.152,10</v>
      </c>
    </row>
    <row r="2010" spans="1:5" x14ac:dyDescent="0.25">
      <c r="A2010" t="str">
        <f>"470"</f>
        <v>470</v>
      </c>
      <c r="B2010" t="str">
        <f>"Husitské muzeum Tábor"</f>
        <v>Husitské muzeum Tábor</v>
      </c>
      <c r="C2010" t="str">
        <f>"00072486"</f>
        <v>00072486</v>
      </c>
    </row>
    <row r="2011" spans="1:5" x14ac:dyDescent="0.25">
      <c r="A2011" t="str">
        <f>"11.07.2011"</f>
        <v>11.07.2011</v>
      </c>
      <c r="B2011" t="str">
        <f>"17.01.2011"</f>
        <v>17.01.2011</v>
      </c>
      <c r="C2011" t="str">
        <f>"13.07.2011"</f>
        <v>13.07.2011</v>
      </c>
      <c r="D2011" t="str">
        <f>"12.940,00"</f>
        <v>12.940,00</v>
      </c>
      <c r="E2011" t="str">
        <f>"12.940,00"</f>
        <v>12.940,00</v>
      </c>
    </row>
    <row r="2014" spans="1:5" x14ac:dyDescent="0.25">
      <c r="A2014" t="str">
        <f>"471"</f>
        <v>471</v>
      </c>
      <c r="B2014" t="str">
        <f>"GEFOS a.s. Praha 8"</f>
        <v>GEFOS a.s. Praha 8</v>
      </c>
      <c r="C2014" t="str">
        <f>"25684213"</f>
        <v>25684213</v>
      </c>
    </row>
    <row r="2015" spans="1:5" x14ac:dyDescent="0.25">
      <c r="A2015" t="str">
        <f>"11.07.2011"</f>
        <v>11.07.2011</v>
      </c>
      <c r="B2015" t="str">
        <f>"15.07.2011"</f>
        <v>15.07.2011</v>
      </c>
      <c r="C2015" t="str">
        <f>"13.07.2011"</f>
        <v>13.07.2011</v>
      </c>
      <c r="D2015" t="str">
        <f>"11.376,00"</f>
        <v>11.376,00</v>
      </c>
      <c r="E2015" t="str">
        <f>"11.376,00"</f>
        <v>11.376,00</v>
      </c>
    </row>
    <row r="2018" spans="1:5" x14ac:dyDescent="0.25">
      <c r="A2018" t="str">
        <f>"472"</f>
        <v>472</v>
      </c>
      <c r="B2018" t="str">
        <f>"Telefónica 02 CR a.s."</f>
        <v>Telefónica 02 CR a.s.</v>
      </c>
      <c r="C2018" t="str">
        <f>"60193336"</f>
        <v>60193336</v>
      </c>
    </row>
    <row r="2019" spans="1:5" x14ac:dyDescent="0.25">
      <c r="A2019" t="str">
        <f>"11.07.2011"</f>
        <v>11.07.2011</v>
      </c>
      <c r="B2019" t="str">
        <f>"18.07.2011"</f>
        <v>18.07.2011</v>
      </c>
      <c r="C2019" t="str">
        <f>"13.07.2011"</f>
        <v>13.07.2011</v>
      </c>
      <c r="D2019" t="str">
        <f>"1,20"</f>
        <v>1,20</v>
      </c>
      <c r="E2019" t="str">
        <f>"1,20"</f>
        <v>1,20</v>
      </c>
    </row>
    <row r="2022" spans="1:5" x14ac:dyDescent="0.25">
      <c r="A2022" t="str">
        <f>"473"</f>
        <v>473</v>
      </c>
      <c r="B2022" t="str">
        <f>"Telefónica 02 CR a.s."</f>
        <v>Telefónica 02 CR a.s.</v>
      </c>
      <c r="C2022" t="str">
        <f>"60193336"</f>
        <v>60193336</v>
      </c>
    </row>
    <row r="2023" spans="1:5" x14ac:dyDescent="0.25">
      <c r="A2023" t="str">
        <f>"11.07.2011"</f>
        <v>11.07.2011</v>
      </c>
      <c r="B2023" t="str">
        <f>"18.07.2011"</f>
        <v>18.07.2011</v>
      </c>
      <c r="C2023" t="str">
        <f>"13.07.2011"</f>
        <v>13.07.2011</v>
      </c>
      <c r="D2023" t="str">
        <f>"889,66"</f>
        <v>889,66</v>
      </c>
      <c r="E2023" t="str">
        <f>"889,66"</f>
        <v>889,66</v>
      </c>
    </row>
    <row r="2026" spans="1:5" x14ac:dyDescent="0.25">
      <c r="A2026" t="str">
        <f>"474"</f>
        <v>474</v>
      </c>
      <c r="B2026" t="str">
        <f>"Telefónica 02 CR a.s."</f>
        <v>Telefónica 02 CR a.s.</v>
      </c>
      <c r="C2026" t="str">
        <f>"60193336"</f>
        <v>60193336</v>
      </c>
    </row>
    <row r="2027" spans="1:5" x14ac:dyDescent="0.25">
      <c r="A2027" t="str">
        <f>"11.07.2011"</f>
        <v>11.07.2011</v>
      </c>
      <c r="B2027" t="str">
        <f>"18.07.2011"</f>
        <v>18.07.2011</v>
      </c>
      <c r="C2027" t="str">
        <f>"13.07.2011"</f>
        <v>13.07.2011</v>
      </c>
      <c r="D2027" t="str">
        <f>"4.227,20"</f>
        <v>4.227,20</v>
      </c>
      <c r="E2027" t="str">
        <f>"4.227,20"</f>
        <v>4.227,20</v>
      </c>
    </row>
    <row r="2030" spans="1:5" x14ac:dyDescent="0.25">
      <c r="A2030" t="str">
        <f>"475"</f>
        <v>475</v>
      </c>
      <c r="B2030" t="str">
        <f>"Česká pošta ,s.p. Praha 1"</f>
        <v>Česká pošta ,s.p. Praha 1</v>
      </c>
      <c r="C2030" t="str">
        <f>"47114983"</f>
        <v>47114983</v>
      </c>
    </row>
    <row r="2031" spans="1:5" x14ac:dyDescent="0.25">
      <c r="A2031" t="str">
        <f>"11.07.2011"</f>
        <v>11.07.2011</v>
      </c>
      <c r="B2031" t="str">
        <f>"21.07.2011"</f>
        <v>21.07.2011</v>
      </c>
      <c r="C2031" t="str">
        <f>"14.07.2011"</f>
        <v>14.07.2011</v>
      </c>
      <c r="D2031" t="str">
        <f>"417,00"</f>
        <v>417,00</v>
      </c>
      <c r="E2031" t="str">
        <f>"417,00"</f>
        <v>417,00</v>
      </c>
    </row>
    <row r="2034" spans="1:5" x14ac:dyDescent="0.25">
      <c r="A2034" t="str">
        <f>"476"</f>
        <v>476</v>
      </c>
      <c r="B2034" t="str">
        <f>"Česká pošta ,s.p. Praha 1"</f>
        <v>Česká pošta ,s.p. Praha 1</v>
      </c>
      <c r="C2034" t="str">
        <f>"47114983"</f>
        <v>47114983</v>
      </c>
    </row>
    <row r="2035" spans="1:5" x14ac:dyDescent="0.25">
      <c r="A2035" t="str">
        <f>"11.07.2011"</f>
        <v>11.07.2011</v>
      </c>
      <c r="B2035" t="str">
        <f>"21.07.2011"</f>
        <v>21.07.2011</v>
      </c>
      <c r="C2035" t="str">
        <f>"14.07.2011"</f>
        <v>14.07.2011</v>
      </c>
      <c r="D2035" t="str">
        <f>"45.539,00"</f>
        <v>45.539,00</v>
      </c>
      <c r="E2035" t="str">
        <f>"45.539,00"</f>
        <v>45.539,00</v>
      </c>
    </row>
    <row r="2038" spans="1:5" x14ac:dyDescent="0.25">
      <c r="A2038" t="str">
        <f>"477"</f>
        <v>477</v>
      </c>
      <c r="B2038" t="str">
        <f>"ČEVAK a.s. Č.Budějovice"</f>
        <v>ČEVAK a.s. Č.Budějovice</v>
      </c>
      <c r="C2038" t="str">
        <f>"60849657"</f>
        <v>60849657</v>
      </c>
    </row>
    <row r="2039" spans="1:5" x14ac:dyDescent="0.25">
      <c r="A2039" t="str">
        <f>"11.07.2011"</f>
        <v>11.07.2011</v>
      </c>
      <c r="B2039" t="str">
        <f>"21.07.2011"</f>
        <v>21.07.2011</v>
      </c>
      <c r="C2039" t="str">
        <f>"20.07.2011"</f>
        <v>20.07.2011</v>
      </c>
      <c r="D2039" t="str">
        <f>"1.437,00"</f>
        <v>1.437,00</v>
      </c>
      <c r="E2039" t="str">
        <f>"1.437,00"</f>
        <v>1.437,00</v>
      </c>
    </row>
    <row r="2041" spans="1:5" x14ac:dyDescent="0.25">
      <c r="A2041" t="str">
        <f>"Poř.č.fak."</f>
        <v>Poř.č.fak.</v>
      </c>
      <c r="B2041" t="str">
        <f>"Dodavatel"</f>
        <v>Dodavatel</v>
      </c>
      <c r="C2041" t="str">
        <f>"IČO"</f>
        <v>IČO</v>
      </c>
    </row>
    <row r="2042" spans="1:5" x14ac:dyDescent="0.25">
      <c r="A2042" t="str">
        <f>"Došla"</f>
        <v>Došla</v>
      </c>
      <c r="B2042" t="str">
        <f>"Splatná"</f>
        <v>Splatná</v>
      </c>
      <c r="C2042" t="str">
        <f>"Zaplacená"</f>
        <v>Zaplacená</v>
      </c>
      <c r="D2042" t="str">
        <f>"Fakt.částka"</f>
        <v>Fakt.částka</v>
      </c>
      <c r="E2042" t="str">
        <f>"Celk.zaplaceno"</f>
        <v>Celk.zaplaceno</v>
      </c>
    </row>
    <row r="2043" spans="1:5" x14ac:dyDescent="0.25">
      <c r="B2043" t="str">
        <f>"Poznámka"</f>
        <v>Poznámka</v>
      </c>
    </row>
    <row r="2044" spans="1:5" x14ac:dyDescent="0.25">
      <c r="A2044" t="str">
        <f>"**********"</f>
        <v>**********</v>
      </c>
      <c r="B2044" t="str">
        <f>"**************************"</f>
        <v>**************************</v>
      </c>
      <c r="C2044" t="str">
        <f>"***********"</f>
        <v>***********</v>
      </c>
      <c r="D2044" t="str">
        <f>"***************"</f>
        <v>***************</v>
      </c>
      <c r="E2044" t="str">
        <f>"***************"</f>
        <v>***************</v>
      </c>
    </row>
    <row r="2046" spans="1:5" x14ac:dyDescent="0.25">
      <c r="A2046" t="str">
        <f>"478"</f>
        <v>478</v>
      </c>
      <c r="B2046" t="str">
        <f>"MS Vodní záchranné služby"</f>
        <v>MS Vodní záchranné služby</v>
      </c>
      <c r="C2046" t="str">
        <f>"60061014"</f>
        <v>60061014</v>
      </c>
    </row>
    <row r="2047" spans="1:5" x14ac:dyDescent="0.25">
      <c r="A2047" t="str">
        <f>"11.07.2011"</f>
        <v>11.07.2011</v>
      </c>
      <c r="B2047" t="str">
        <f>"29.07.2011"</f>
        <v>29.07.2011</v>
      </c>
      <c r="C2047" t="str">
        <f>"25.07.2011"</f>
        <v>25.07.2011</v>
      </c>
      <c r="D2047" t="str">
        <f>"1.500,00"</f>
        <v>1.500,00</v>
      </c>
      <c r="E2047" t="str">
        <f>"1.500,00"</f>
        <v>1.500,00</v>
      </c>
    </row>
    <row r="2050" spans="1:5" x14ac:dyDescent="0.25">
      <c r="A2050" t="str">
        <f>"479"</f>
        <v>479</v>
      </c>
      <c r="B2050" t="str">
        <f>"TJ SPARTAK Soběslav"</f>
        <v>TJ SPARTAK Soběslav</v>
      </c>
      <c r="C2050" t="str">
        <f>"46632191"</f>
        <v>46632191</v>
      </c>
    </row>
    <row r="2051" spans="1:5" x14ac:dyDescent="0.25">
      <c r="A2051" t="str">
        <f>"12.07.2011"</f>
        <v>12.07.2011</v>
      </c>
      <c r="B2051" t="str">
        <f>"21.07.2011"</f>
        <v>21.07.2011</v>
      </c>
      <c r="C2051" t="str">
        <f>"20.07.2011"</f>
        <v>20.07.2011</v>
      </c>
      <c r="D2051" t="str">
        <f>"1.470,00"</f>
        <v>1.470,00</v>
      </c>
      <c r="E2051" t="str">
        <f>"1.470,00"</f>
        <v>1.470,00</v>
      </c>
    </row>
    <row r="2054" spans="1:5" x14ac:dyDescent="0.25">
      <c r="A2054" t="str">
        <f>"480"</f>
        <v>480</v>
      </c>
      <c r="B2054" t="str">
        <f>"ČÚ zeměměřický a katastr."</f>
        <v>ČÚ zeměměřický a katastr.</v>
      </c>
      <c r="C2054" t="str">
        <f>"00025712"</f>
        <v>00025712</v>
      </c>
    </row>
    <row r="2055" spans="1:5" x14ac:dyDescent="0.25">
      <c r="A2055" t="str">
        <f>"12.07.2011"</f>
        <v>12.07.2011</v>
      </c>
      <c r="B2055" t="str">
        <f>"26.07.2011"</f>
        <v>26.07.2011</v>
      </c>
      <c r="C2055" t="str">
        <f>"25.07.2011"</f>
        <v>25.07.2011</v>
      </c>
      <c r="D2055" t="str">
        <f>"2.000,00"</f>
        <v>2.000,00</v>
      </c>
      <c r="E2055" t="str">
        <f>"2.000,00"</f>
        <v>2.000,00</v>
      </c>
    </row>
    <row r="2058" spans="1:5" x14ac:dyDescent="0.25">
      <c r="A2058" t="str">
        <f>"481"</f>
        <v>481</v>
      </c>
      <c r="B2058" t="str">
        <f>"Technické služby, s.r.o."</f>
        <v>Technické služby, s.r.o.</v>
      </c>
      <c r="C2058" t="str">
        <f>"62502565"</f>
        <v>62502565</v>
      </c>
    </row>
    <row r="2059" spans="1:5" x14ac:dyDescent="0.25">
      <c r="A2059" t="str">
        <f>"12.07.2011"</f>
        <v>12.07.2011</v>
      </c>
      <c r="B2059" t="str">
        <f>"21.07.2011"</f>
        <v>21.07.2011</v>
      </c>
      <c r="C2059" t="str">
        <f>"20.07.2011"</f>
        <v>20.07.2011</v>
      </c>
      <c r="D2059" t="str">
        <f>"3.120,00"</f>
        <v>3.120,00</v>
      </c>
      <c r="E2059" t="str">
        <f>"3.120,00"</f>
        <v>3.120,00</v>
      </c>
    </row>
    <row r="2062" spans="1:5" x14ac:dyDescent="0.25">
      <c r="A2062" t="str">
        <f>"482"</f>
        <v>482</v>
      </c>
      <c r="B2062" t="str">
        <f>"CHIRONAX ESTRA s.r.o."</f>
        <v>CHIRONAX ESTRA s.r.o.</v>
      </c>
      <c r="C2062" t="str">
        <f>"49357409"</f>
        <v>49357409</v>
      </c>
    </row>
    <row r="2063" spans="1:5" x14ac:dyDescent="0.25">
      <c r="A2063" t="str">
        <f>"12.07.2011"</f>
        <v>12.07.2011</v>
      </c>
      <c r="B2063" t="str">
        <f>"21.07.2011"</f>
        <v>21.07.2011</v>
      </c>
      <c r="C2063" t="str">
        <f>"20.07.2011"</f>
        <v>20.07.2011</v>
      </c>
      <c r="D2063" t="str">
        <f>"5.448,00"</f>
        <v>5.448,00</v>
      </c>
      <c r="E2063" t="str">
        <f>"5.448,00"</f>
        <v>5.448,00</v>
      </c>
    </row>
    <row r="2066" spans="1:5" x14ac:dyDescent="0.25">
      <c r="A2066" t="str">
        <f>"483"</f>
        <v>483</v>
      </c>
      <c r="B2066" t="str">
        <f>"ing. Pantoflíček Soběslav"</f>
        <v>ing. Pantoflíček Soběslav</v>
      </c>
      <c r="C2066" t="str">
        <f>"18302220"</f>
        <v>18302220</v>
      </c>
    </row>
    <row r="2067" spans="1:5" x14ac:dyDescent="0.25">
      <c r="A2067" t="str">
        <f>"12.07.2011"</f>
        <v>12.07.2011</v>
      </c>
      <c r="B2067" t="str">
        <f>"25.07.2011"</f>
        <v>25.07.2011</v>
      </c>
      <c r="C2067" t="str">
        <f>"26.07.2011"</f>
        <v>26.07.2011</v>
      </c>
      <c r="D2067" t="str">
        <f>"18.000,00"</f>
        <v>18.000,00</v>
      </c>
      <c r="E2067" t="str">
        <f>"18.000,00"</f>
        <v>18.000,00</v>
      </c>
    </row>
    <row r="2070" spans="1:5" x14ac:dyDescent="0.25">
      <c r="A2070" t="str">
        <f>"484"</f>
        <v>484</v>
      </c>
      <c r="B2070" t="str">
        <f>"Zotepo s.r.o."</f>
        <v>Zotepo s.r.o.</v>
      </c>
      <c r="C2070" t="str">
        <f>"26020025"</f>
        <v>26020025</v>
      </c>
    </row>
    <row r="2071" spans="1:5" x14ac:dyDescent="0.25">
      <c r="A2071" t="str">
        <f>"12.07.2011"</f>
        <v>12.07.2011</v>
      </c>
      <c r="B2071" t="str">
        <f>"21.07.2011"</f>
        <v>21.07.2011</v>
      </c>
      <c r="C2071" t="str">
        <f>"20.07.2011"</f>
        <v>20.07.2011</v>
      </c>
      <c r="D2071" t="str">
        <f>"38.404,00"</f>
        <v>38.404,00</v>
      </c>
      <c r="E2071" t="str">
        <f>"38.404,00"</f>
        <v>38.404,00</v>
      </c>
    </row>
    <row r="2074" spans="1:5" x14ac:dyDescent="0.25">
      <c r="A2074" t="str">
        <f>"485"</f>
        <v>485</v>
      </c>
      <c r="B2074" t="str">
        <f>"Sodexo Pass ČR a.s. Praha"</f>
        <v>Sodexo Pass ČR a.s. Praha</v>
      </c>
      <c r="C2074" t="str">
        <f>"61860476"</f>
        <v>61860476</v>
      </c>
    </row>
    <row r="2075" spans="1:5" x14ac:dyDescent="0.25">
      <c r="A2075" t="str">
        <f>"12.07.2011"</f>
        <v>12.07.2011</v>
      </c>
      <c r="B2075" t="str">
        <f>"25.07.2011"</f>
        <v>25.07.2011</v>
      </c>
      <c r="C2075" t="str">
        <f>"21.07.2011"</f>
        <v>21.07.2011</v>
      </c>
      <c r="D2075" t="str">
        <f>"60.204,00"</f>
        <v>60.204,00</v>
      </c>
      <c r="E2075" t="str">
        <f>"60.204,00"</f>
        <v>60.204,00</v>
      </c>
    </row>
    <row r="2078" spans="1:5" x14ac:dyDescent="0.25">
      <c r="A2078" t="str">
        <f>"486"</f>
        <v>486</v>
      </c>
      <c r="B2078" t="str">
        <f>"Česká pošta, s.p. Praha"</f>
        <v>Česká pošta, s.p. Praha</v>
      </c>
      <c r="C2078" t="str">
        <f>"47114983"</f>
        <v>47114983</v>
      </c>
    </row>
    <row r="2079" spans="1:5" x14ac:dyDescent="0.25">
      <c r="A2079" t="str">
        <f>"13.07.2011"</f>
        <v>13.07.2011</v>
      </c>
      <c r="B2079" t="str">
        <f>"26.07.2011"</f>
        <v>26.07.2011</v>
      </c>
      <c r="C2079" t="str">
        <f>"25.07.2011"</f>
        <v>25.07.2011</v>
      </c>
      <c r="D2079" t="str">
        <f>"636,00"</f>
        <v>636,00</v>
      </c>
      <c r="E2079" t="str">
        <f>"636,00"</f>
        <v>636,00</v>
      </c>
    </row>
    <row r="2082" spans="1:5" x14ac:dyDescent="0.25">
      <c r="A2082" t="str">
        <f>"487"</f>
        <v>487</v>
      </c>
      <c r="B2082" t="str">
        <f>"Frant. Šťastný Soběslav"</f>
        <v>Frant. Šťastný Soběslav</v>
      </c>
      <c r="C2082" t="str">
        <f>"12905917"</f>
        <v>12905917</v>
      </c>
    </row>
    <row r="2083" spans="1:5" x14ac:dyDescent="0.25">
      <c r="A2083" t="str">
        <f>"13.07.2011"</f>
        <v>13.07.2011</v>
      </c>
      <c r="B2083" t="str">
        <f>"10.07.2011"</f>
        <v>10.07.2011</v>
      </c>
      <c r="C2083" t="str">
        <f>"20.07.2011"</f>
        <v>20.07.2011</v>
      </c>
      <c r="D2083" t="str">
        <f>"1.266,00"</f>
        <v>1.266,00</v>
      </c>
      <c r="E2083" t="str">
        <f>"1.266,00"</f>
        <v>1.266,00</v>
      </c>
    </row>
    <row r="2086" spans="1:5" x14ac:dyDescent="0.25">
      <c r="A2086" t="str">
        <f>"488"</f>
        <v>488</v>
      </c>
      <c r="B2086" t="str">
        <f>"Petr Palán Vesce 46"</f>
        <v>Petr Palán Vesce 46</v>
      </c>
      <c r="C2086" t="str">
        <f>"45015171"</f>
        <v>45015171</v>
      </c>
    </row>
    <row r="2087" spans="1:5" x14ac:dyDescent="0.25">
      <c r="A2087" t="str">
        <f>"13.07.2011"</f>
        <v>13.07.2011</v>
      </c>
      <c r="B2087" t="str">
        <f>"24.07.2011"</f>
        <v>24.07.2011</v>
      </c>
      <c r="C2087" t="str">
        <f>"21.07.2011"</f>
        <v>21.07.2011</v>
      </c>
      <c r="D2087" t="str">
        <f>"2.408,00"</f>
        <v>2.408,00</v>
      </c>
      <c r="E2087" t="str">
        <f>"2.408,00"</f>
        <v>2.408,00</v>
      </c>
    </row>
    <row r="2090" spans="1:5" x14ac:dyDescent="0.25">
      <c r="A2090" t="str">
        <f>"489"</f>
        <v>489</v>
      </c>
      <c r="B2090" t="str">
        <f>"EUROSAD, s.r.o. Val č.3"</f>
        <v>EUROSAD, s.r.o. Val č.3</v>
      </c>
      <c r="C2090" t="str">
        <f>"62503910"</f>
        <v>62503910</v>
      </c>
    </row>
    <row r="2091" spans="1:5" x14ac:dyDescent="0.25">
      <c r="A2091" t="str">
        <f>"13.07.2011"</f>
        <v>13.07.2011</v>
      </c>
      <c r="B2091" t="str">
        <f>"18.07.2011"</f>
        <v>18.07.2011</v>
      </c>
      <c r="C2091" t="str">
        <f>"20.07.2011"</f>
        <v>20.07.2011</v>
      </c>
      <c r="D2091" t="str">
        <f>"4.357,00"</f>
        <v>4.357,00</v>
      </c>
      <c r="E2091" t="str">
        <f>"4.357,00"</f>
        <v>4.357,00</v>
      </c>
    </row>
    <row r="2094" spans="1:5" x14ac:dyDescent="0.25">
      <c r="A2094" t="str">
        <f>"490"</f>
        <v>490</v>
      </c>
      <c r="B2094" t="str">
        <f>"QASAR s.r.o. Mažice"</f>
        <v>QASAR s.r.o. Mažice</v>
      </c>
      <c r="C2094" t="str">
        <f>"25192469"</f>
        <v>25192469</v>
      </c>
    </row>
    <row r="2095" spans="1:5" x14ac:dyDescent="0.25">
      <c r="A2095" t="str">
        <f>"13.07.2011"</f>
        <v>13.07.2011</v>
      </c>
      <c r="B2095" t="str">
        <f>"31.07.2011"</f>
        <v>31.07.2011</v>
      </c>
      <c r="C2095" t="str">
        <f>"27.07.2011"</f>
        <v>27.07.2011</v>
      </c>
      <c r="D2095" t="str">
        <f>"4.800,00"</f>
        <v>4.800,00</v>
      </c>
      <c r="E2095" t="str">
        <f>"4.800,00"</f>
        <v>4.800,00</v>
      </c>
    </row>
    <row r="2098" spans="1:5" x14ac:dyDescent="0.25">
      <c r="A2098" t="str">
        <f>"491"</f>
        <v>491</v>
      </c>
      <c r="B2098" t="str">
        <f>"Forward Kročák Lomnice"</f>
        <v>Forward Kročák Lomnice</v>
      </c>
      <c r="C2098" t="str">
        <f>"10291580"</f>
        <v>10291580</v>
      </c>
    </row>
    <row r="2099" spans="1:5" x14ac:dyDescent="0.25">
      <c r="A2099" t="str">
        <f>"13.07.2011"</f>
        <v>13.07.2011</v>
      </c>
      <c r="B2099" t="str">
        <f>"26.07.2011"</f>
        <v>26.07.2011</v>
      </c>
      <c r="C2099" t="str">
        <f>"25.07.2011"</f>
        <v>25.07.2011</v>
      </c>
      <c r="D2099" t="str">
        <f>"7.997,00"</f>
        <v>7.997,00</v>
      </c>
      <c r="E2099" t="str">
        <f>"7.997,00"</f>
        <v>7.997,00</v>
      </c>
    </row>
    <row r="2101" spans="1:5" x14ac:dyDescent="0.25">
      <c r="A2101" t="str">
        <f>"Poř.č.fak."</f>
        <v>Poř.č.fak.</v>
      </c>
      <c r="B2101" t="str">
        <f>"Dodavatel"</f>
        <v>Dodavatel</v>
      </c>
      <c r="C2101" t="str">
        <f>"IČO"</f>
        <v>IČO</v>
      </c>
    </row>
    <row r="2102" spans="1:5" x14ac:dyDescent="0.25">
      <c r="A2102" t="str">
        <f>"Došla"</f>
        <v>Došla</v>
      </c>
      <c r="B2102" t="str">
        <f>"Splatná"</f>
        <v>Splatná</v>
      </c>
      <c r="C2102" t="str">
        <f>"Zaplacená"</f>
        <v>Zaplacená</v>
      </c>
      <c r="D2102" t="str">
        <f>"Fakt.částka"</f>
        <v>Fakt.částka</v>
      </c>
      <c r="E2102" t="str">
        <f>"Celk.zaplaceno"</f>
        <v>Celk.zaplaceno</v>
      </c>
    </row>
    <row r="2103" spans="1:5" x14ac:dyDescent="0.25">
      <c r="B2103" t="str">
        <f>"Poznámka"</f>
        <v>Poznámka</v>
      </c>
    </row>
    <row r="2104" spans="1:5" x14ac:dyDescent="0.25">
      <c r="A2104" t="str">
        <f>"**********"</f>
        <v>**********</v>
      </c>
      <c r="B2104" t="str">
        <f>"**************************"</f>
        <v>**************************</v>
      </c>
      <c r="C2104" t="str">
        <f>"***********"</f>
        <v>***********</v>
      </c>
      <c r="D2104" t="str">
        <f>"***************"</f>
        <v>***************</v>
      </c>
      <c r="E2104" t="str">
        <f>"***************"</f>
        <v>***************</v>
      </c>
    </row>
    <row r="2106" spans="1:5" x14ac:dyDescent="0.25">
      <c r="A2106" t="str">
        <f>"492"</f>
        <v>492</v>
      </c>
      <c r="B2106" t="str">
        <f>"Václav Říha Želeč"</f>
        <v>Václav Říha Želeč</v>
      </c>
      <c r="C2106" t="str">
        <f>"13520415"</f>
        <v>13520415</v>
      </c>
    </row>
    <row r="2107" spans="1:5" x14ac:dyDescent="0.25">
      <c r="A2107" t="str">
        <f>"13.07.2011"</f>
        <v>13.07.2011</v>
      </c>
      <c r="B2107" t="str">
        <f>"27.07.2011"</f>
        <v>27.07.2011</v>
      </c>
      <c r="C2107" t="str">
        <f>"15.07.2011"</f>
        <v>15.07.2011</v>
      </c>
      <c r="D2107" t="str">
        <f>"57.000,00"</f>
        <v>57.000,00</v>
      </c>
      <c r="E2107" t="str">
        <f>"57.000,00"</f>
        <v>57.000,00</v>
      </c>
    </row>
    <row r="2110" spans="1:5" x14ac:dyDescent="0.25">
      <c r="A2110" t="str">
        <f>"493"</f>
        <v>493</v>
      </c>
      <c r="B2110" t="str">
        <f>"E.ON  Energie a.s. Č.B."</f>
        <v>E.ON  Energie a.s. Č.B.</v>
      </c>
      <c r="C2110" t="str">
        <f>"26078201"</f>
        <v>26078201</v>
      </c>
    </row>
    <row r="2111" spans="1:5" x14ac:dyDescent="0.25">
      <c r="A2111" t="str">
        <f>"14.07.2011"</f>
        <v>14.07.2011</v>
      </c>
      <c r="B2111" t="str">
        <f>"27.07.2011"</f>
        <v>27.07.2011</v>
      </c>
      <c r="C2111" t="str">
        <f>"25.07.2011"</f>
        <v>25.07.2011</v>
      </c>
      <c r="D2111" t="str">
        <f>"7.949,00"</f>
        <v>7.949,00</v>
      </c>
      <c r="E2111" t="str">
        <f>"7.949,00"</f>
        <v>7.949,00</v>
      </c>
    </row>
    <row r="2114" spans="1:5" x14ac:dyDescent="0.25">
      <c r="A2114" t="str">
        <f>"494"</f>
        <v>494</v>
      </c>
      <c r="B2114" t="str">
        <f>"Spilka a Říha s.r.o. Sobě"</f>
        <v>Spilka a Říha s.r.o. Sobě</v>
      </c>
      <c r="C2114" t="str">
        <f>"45021309"</f>
        <v>45021309</v>
      </c>
    </row>
    <row r="2115" spans="1:5" x14ac:dyDescent="0.25">
      <c r="A2115" t="str">
        <f>"14.07.2011"</f>
        <v>14.07.2011</v>
      </c>
      <c r="B2115" t="str">
        <f>"28.07.2011"</f>
        <v>28.07.2011</v>
      </c>
      <c r="C2115" t="str">
        <f>"26.07.2011"</f>
        <v>26.07.2011</v>
      </c>
      <c r="D2115" t="str">
        <f>"5.885.205,00"</f>
        <v>5.885.205,00</v>
      </c>
      <c r="E2115" t="str">
        <f>"5.885.205,00"</f>
        <v>5.885.205,00</v>
      </c>
    </row>
    <row r="2118" spans="1:5" x14ac:dyDescent="0.25">
      <c r="A2118" t="str">
        <f>"495"</f>
        <v>495</v>
      </c>
      <c r="B2118" t="str">
        <f>"TIP N+V, Soběslav"</f>
        <v>TIP N+V, Soběslav</v>
      </c>
      <c r="C2118" t="str">
        <f>"18321119"</f>
        <v>18321119</v>
      </c>
    </row>
    <row r="2119" spans="1:5" x14ac:dyDescent="0.25">
      <c r="A2119" t="str">
        <f>"15.07.2011"</f>
        <v>15.07.2011</v>
      </c>
      <c r="B2119" t="str">
        <f>"17.07.2011"</f>
        <v>17.07.2011</v>
      </c>
      <c r="C2119" t="str">
        <f>"20.07.2011"</f>
        <v>20.07.2011</v>
      </c>
      <c r="D2119" t="str">
        <f>"3.144,00"</f>
        <v>3.144,00</v>
      </c>
      <c r="E2119" t="str">
        <f>"3.144,00"</f>
        <v>3.144,00</v>
      </c>
    </row>
    <row r="2122" spans="1:5" x14ac:dyDescent="0.25">
      <c r="A2122" t="str">
        <f>"496"</f>
        <v>496</v>
      </c>
      <c r="B2122" t="str">
        <f>"VITA software s.r.o. Prah"</f>
        <v>VITA software s.r.o. Prah</v>
      </c>
      <c r="C2122" t="str">
        <f>"61060631"</f>
        <v>61060631</v>
      </c>
    </row>
    <row r="2123" spans="1:5" x14ac:dyDescent="0.25">
      <c r="A2123" t="str">
        <f>"15.07.2011"</f>
        <v>15.07.2011</v>
      </c>
      <c r="B2123" t="str">
        <f>"30.07.2011"</f>
        <v>30.07.2011</v>
      </c>
      <c r="C2123" t="str">
        <f>"27.07.2011"</f>
        <v>27.07.2011</v>
      </c>
      <c r="D2123" t="str">
        <f>"14.760,00"</f>
        <v>14.760,00</v>
      </c>
      <c r="E2123" t="str">
        <f>"14.760,00"</f>
        <v>14.760,00</v>
      </c>
    </row>
    <row r="2126" spans="1:5" x14ac:dyDescent="0.25">
      <c r="A2126" t="str">
        <f>"497"</f>
        <v>497</v>
      </c>
      <c r="B2126" t="str">
        <f>"RUMPOLD s.r.o. Tábor"</f>
        <v>RUMPOLD s.r.o. Tábor</v>
      </c>
      <c r="C2126" t="str">
        <f>"61459364"</f>
        <v>61459364</v>
      </c>
    </row>
    <row r="2127" spans="1:5" x14ac:dyDescent="0.25">
      <c r="A2127" t="str">
        <f>"15.07.2011"</f>
        <v>15.07.2011</v>
      </c>
      <c r="B2127" t="str">
        <f>"30.07.2011"</f>
        <v>30.07.2011</v>
      </c>
      <c r="C2127" t="str">
        <f>"27.07.2011"</f>
        <v>27.07.2011</v>
      </c>
      <c r="D2127" t="str">
        <f>"16.326,00"</f>
        <v>16.326,00</v>
      </c>
      <c r="E2127" t="str">
        <f>"16.326,00"</f>
        <v>16.326,00</v>
      </c>
    </row>
    <row r="2130" spans="1:5" x14ac:dyDescent="0.25">
      <c r="A2130" t="str">
        <f>"498"</f>
        <v>498</v>
      </c>
      <c r="B2130" t="str">
        <f>"Lesy ČR s.p. Jindř.Hradec"</f>
        <v>Lesy ČR s.p. Jindř.Hradec</v>
      </c>
      <c r="C2130" t="str">
        <f>"42196451"</f>
        <v>42196451</v>
      </c>
    </row>
    <row r="2131" spans="1:5" x14ac:dyDescent="0.25">
      <c r="A2131" t="str">
        <f>"15.07.2011"</f>
        <v>15.07.2011</v>
      </c>
      <c r="B2131" t="str">
        <f>"12.10.2011"</f>
        <v>12.10.2011</v>
      </c>
      <c r="C2131" t="str">
        <f>"06.10.2011"</f>
        <v>06.10.2011</v>
      </c>
      <c r="D2131" t="str">
        <f>"172.080,00"</f>
        <v>172.080,00</v>
      </c>
      <c r="E2131" t="str">
        <f>"172.080,00"</f>
        <v>172.080,00</v>
      </c>
    </row>
    <row r="2134" spans="1:5" x14ac:dyDescent="0.25">
      <c r="A2134" t="str">
        <f>"499"</f>
        <v>499</v>
      </c>
      <c r="B2134" t="str">
        <f>"SHS"</f>
        <v>SHS</v>
      </c>
      <c r="C2134" t="str">
        <f>"65992466"</f>
        <v>65992466</v>
      </c>
    </row>
    <row r="2135" spans="1:5" x14ac:dyDescent="0.25">
      <c r="A2135" t="str">
        <f>"18.07.2011"</f>
        <v>18.07.2011</v>
      </c>
      <c r="B2135" t="str">
        <f>"05.08.2011"</f>
        <v>05.08.2011</v>
      </c>
      <c r="C2135" t="str">
        <f>"01.08.2011"</f>
        <v>01.08.2011</v>
      </c>
      <c r="D2135" t="str">
        <f>"100,00"</f>
        <v>100,00</v>
      </c>
      <c r="E2135" t="str">
        <f>"100,00"</f>
        <v>100,00</v>
      </c>
    </row>
    <row r="2138" spans="1:5" x14ac:dyDescent="0.25">
      <c r="A2138" t="str">
        <f>"500"</f>
        <v>500</v>
      </c>
      <c r="B2138" t="str">
        <f>"Lesy ČR s.p. LS Tábor"</f>
        <v>Lesy ČR s.p. LS Tábor</v>
      </c>
      <c r="C2138" t="str">
        <f>"42196451"</f>
        <v>42196451</v>
      </c>
    </row>
    <row r="2139" spans="1:5" x14ac:dyDescent="0.25">
      <c r="A2139" t="str">
        <f>"19.07.2011"</f>
        <v>19.07.2011</v>
      </c>
      <c r="B2139" t="str">
        <f>"28.09.2011"</f>
        <v>28.09.2011</v>
      </c>
      <c r="C2139" t="str">
        <f>"06.10.2011"</f>
        <v>06.10.2011</v>
      </c>
      <c r="D2139" t="str">
        <f>"88.962,00"</f>
        <v>88.962,00</v>
      </c>
      <c r="E2139" t="str">
        <f>"88.962,00"</f>
        <v>88.962,00</v>
      </c>
    </row>
    <row r="2142" spans="1:5" x14ac:dyDescent="0.25">
      <c r="A2142" t="str">
        <f>"501"</f>
        <v>501</v>
      </c>
      <c r="B2142" t="str">
        <f>"T.O.D.O.K. s.r.o.Soběslav"</f>
        <v>T.O.D.O.K. s.r.o.Soběslav</v>
      </c>
      <c r="C2142" t="str">
        <f>"48201936"</f>
        <v>48201936</v>
      </c>
    </row>
    <row r="2143" spans="1:5" x14ac:dyDescent="0.25">
      <c r="A2143" t="str">
        <f>"19.07.2011"</f>
        <v>19.07.2011</v>
      </c>
      <c r="B2143" t="str">
        <f>"02.08.2011"</f>
        <v>02.08.2011</v>
      </c>
      <c r="C2143" t="str">
        <f>"01.08.2011"</f>
        <v>01.08.2011</v>
      </c>
      <c r="D2143" t="str">
        <f>"193.905,00"</f>
        <v>193.905,00</v>
      </c>
      <c r="E2143" t="str">
        <f>"193.905,00"</f>
        <v>193.905,00</v>
      </c>
    </row>
    <row r="2146" spans="1:5" x14ac:dyDescent="0.25">
      <c r="A2146" t="str">
        <f>"502"</f>
        <v>502</v>
      </c>
      <c r="B2146" t="str">
        <f>"Milena Dvořáková Planá n/"</f>
        <v>Milena Dvořáková Planá n/</v>
      </c>
      <c r="C2146" t="str">
        <f>"62551884"</f>
        <v>62551884</v>
      </c>
    </row>
    <row r="2147" spans="1:5" x14ac:dyDescent="0.25">
      <c r="A2147" t="str">
        <f>"20.07.2011"</f>
        <v>20.07.2011</v>
      </c>
      <c r="B2147" t="str">
        <f>"25.07.2011"</f>
        <v>25.07.2011</v>
      </c>
      <c r="C2147" t="str">
        <f>"26.07.2011"</f>
        <v>26.07.2011</v>
      </c>
      <c r="D2147" t="str">
        <f>"990,00"</f>
        <v>990,00</v>
      </c>
      <c r="E2147" t="str">
        <f>"990,00"</f>
        <v>990,00</v>
      </c>
    </row>
    <row r="2150" spans="1:5" x14ac:dyDescent="0.25">
      <c r="A2150" t="str">
        <f>"503"</f>
        <v>503</v>
      </c>
      <c r="B2150" t="str">
        <f>"KONICA MINOLTA s.r.o."</f>
        <v>KONICA MINOLTA s.r.o.</v>
      </c>
      <c r="C2150" t="str">
        <f>"00176150"</f>
        <v>00176150</v>
      </c>
    </row>
    <row r="2151" spans="1:5" x14ac:dyDescent="0.25">
      <c r="A2151" t="str">
        <f>"20.07.2011"</f>
        <v>20.07.2011</v>
      </c>
      <c r="B2151" t="str">
        <f>"26.07.2011"</f>
        <v>26.07.2011</v>
      </c>
      <c r="C2151" t="str">
        <f>"26.07.2011"</f>
        <v>26.07.2011</v>
      </c>
      <c r="D2151" t="str">
        <f>"3.552,00"</f>
        <v>3.552,00</v>
      </c>
      <c r="E2151" t="str">
        <f>"3.552,00"</f>
        <v>3.552,00</v>
      </c>
    </row>
    <row r="2154" spans="1:5" x14ac:dyDescent="0.25">
      <c r="A2154" t="str">
        <f>"504"</f>
        <v>504</v>
      </c>
      <c r="B2154" t="str">
        <f>"Jana Poláková Soběslav"</f>
        <v>Jana Poláková Soběslav</v>
      </c>
      <c r="C2154" t="str">
        <f>"18302076"</f>
        <v>18302076</v>
      </c>
    </row>
    <row r="2155" spans="1:5" x14ac:dyDescent="0.25">
      <c r="A2155" t="str">
        <f>"20.07.2011"</f>
        <v>20.07.2011</v>
      </c>
      <c r="B2155" t="str">
        <f>"30.06.2011"</f>
        <v>30.06.2011</v>
      </c>
      <c r="C2155" t="str">
        <f>"25.07.2011"</f>
        <v>25.07.2011</v>
      </c>
      <c r="D2155" t="str">
        <f>"103.300,00"</f>
        <v>103.300,00</v>
      </c>
      <c r="E2155" t="str">
        <f>"103.300,00"</f>
        <v>103.300,00</v>
      </c>
    </row>
    <row r="2158" spans="1:5" x14ac:dyDescent="0.25">
      <c r="A2158" t="str">
        <f>"505"</f>
        <v>505</v>
      </c>
      <c r="B2158" t="str">
        <f>"T.O.D.O.K. s.r.o.Soběslav"</f>
        <v>T.O.D.O.K. s.r.o.Soběslav</v>
      </c>
      <c r="C2158" t="str">
        <f>"48201936"</f>
        <v>48201936</v>
      </c>
    </row>
    <row r="2159" spans="1:5" x14ac:dyDescent="0.25">
      <c r="A2159" t="str">
        <f>"20.07.2011"</f>
        <v>20.07.2011</v>
      </c>
      <c r="B2159" t="str">
        <f>"08.08.2011"</f>
        <v>08.08.2011</v>
      </c>
      <c r="C2159" t="str">
        <f>"03.08.2011"</f>
        <v>03.08.2011</v>
      </c>
      <c r="D2159" t="str">
        <f>"110.250,00"</f>
        <v>110.250,00</v>
      </c>
      <c r="E2159" t="str">
        <f>"110.250,00"</f>
        <v>110.250,00</v>
      </c>
    </row>
    <row r="2161" spans="1:5" x14ac:dyDescent="0.25">
      <c r="A2161" t="str">
        <f>"Poř.č.fak."</f>
        <v>Poř.č.fak.</v>
      </c>
      <c r="B2161" t="str">
        <f>"Dodavatel"</f>
        <v>Dodavatel</v>
      </c>
      <c r="C2161" t="str">
        <f>"IČO"</f>
        <v>IČO</v>
      </c>
    </row>
    <row r="2162" spans="1:5" x14ac:dyDescent="0.25">
      <c r="A2162" t="str">
        <f>"Došla"</f>
        <v>Došla</v>
      </c>
      <c r="B2162" t="str">
        <f>"Splatná"</f>
        <v>Splatná</v>
      </c>
      <c r="C2162" t="str">
        <f>"Zaplacená"</f>
        <v>Zaplacená</v>
      </c>
      <c r="D2162" t="str">
        <f>"Fakt.částka"</f>
        <v>Fakt.částka</v>
      </c>
      <c r="E2162" t="str">
        <f>"Celk.zaplaceno"</f>
        <v>Celk.zaplaceno</v>
      </c>
    </row>
    <row r="2163" spans="1:5" x14ac:dyDescent="0.25">
      <c r="B2163" t="str">
        <f>"Poznámka"</f>
        <v>Poznámka</v>
      </c>
    </row>
    <row r="2164" spans="1:5" x14ac:dyDescent="0.25">
      <c r="A2164" t="str">
        <f>"**********"</f>
        <v>**********</v>
      </c>
      <c r="B2164" t="str">
        <f>"**************************"</f>
        <v>**************************</v>
      </c>
      <c r="C2164" t="str">
        <f>"***********"</f>
        <v>***********</v>
      </c>
      <c r="D2164" t="str">
        <f>"***************"</f>
        <v>***************</v>
      </c>
      <c r="E2164" t="str">
        <f>"***************"</f>
        <v>***************</v>
      </c>
    </row>
    <row r="2166" spans="1:5" x14ac:dyDescent="0.25">
      <c r="A2166" t="str">
        <f>"506"</f>
        <v>506</v>
      </c>
      <c r="B2166" t="str">
        <f>"KONICA MINOLTA s.r.o."</f>
        <v>KONICA MINOLTA s.r.o.</v>
      </c>
      <c r="C2166" t="str">
        <f>"00176150"</f>
        <v>00176150</v>
      </c>
    </row>
    <row r="2167" spans="1:5" x14ac:dyDescent="0.25">
      <c r="A2167" t="str">
        <f>"21.07.2011"</f>
        <v>21.07.2011</v>
      </c>
      <c r="B2167" t="str">
        <f>"26.07.2011"</f>
        <v>26.07.2011</v>
      </c>
      <c r="C2167" t="str">
        <f>"26.07.2011"</f>
        <v>26.07.2011</v>
      </c>
      <c r="D2167" t="str">
        <f>"367,20"</f>
        <v>367,20</v>
      </c>
      <c r="E2167" t="str">
        <f>"367,20"</f>
        <v>367,20</v>
      </c>
    </row>
    <row r="2170" spans="1:5" x14ac:dyDescent="0.25">
      <c r="A2170" t="str">
        <f>"507"</f>
        <v>507</v>
      </c>
      <c r="B2170" t="str">
        <f>"KONICA MINOLTA s.r.o."</f>
        <v>KONICA MINOLTA s.r.o.</v>
      </c>
      <c r="C2170" t="str">
        <f>"00176150"</f>
        <v>00176150</v>
      </c>
    </row>
    <row r="2171" spans="1:5" x14ac:dyDescent="0.25">
      <c r="A2171" t="str">
        <f>"21.07.2011"</f>
        <v>21.07.2011</v>
      </c>
      <c r="B2171" t="str">
        <f>"26.07.2011"</f>
        <v>26.07.2011</v>
      </c>
      <c r="C2171" t="str">
        <f>"26.07.2011"</f>
        <v>26.07.2011</v>
      </c>
      <c r="D2171" t="str">
        <f>"1.716,00"</f>
        <v>1.716,00</v>
      </c>
      <c r="E2171" t="str">
        <f>"1.716,00"</f>
        <v>1.716,00</v>
      </c>
    </row>
    <row r="2174" spans="1:5" x14ac:dyDescent="0.25">
      <c r="A2174" t="str">
        <f>"508"</f>
        <v>508</v>
      </c>
      <c r="B2174" t="str">
        <f>"Mareš Zbyněk Tábor"</f>
        <v>Mareš Zbyněk Tábor</v>
      </c>
      <c r="C2174" t="str">
        <f>"69541850"</f>
        <v>69541850</v>
      </c>
    </row>
    <row r="2175" spans="1:5" x14ac:dyDescent="0.25">
      <c r="A2175" t="str">
        <f>"21.07.2011"</f>
        <v>21.07.2011</v>
      </c>
      <c r="B2175" t="str">
        <f>"03.08.2011"</f>
        <v>03.08.2011</v>
      </c>
      <c r="C2175" t="str">
        <f>"01.08.2011"</f>
        <v>01.08.2011</v>
      </c>
      <c r="D2175" t="str">
        <f>"9.589,00"</f>
        <v>9.589,00</v>
      </c>
      <c r="E2175" t="str">
        <f>"9.589,00"</f>
        <v>9.589,00</v>
      </c>
    </row>
    <row r="2178" spans="1:5" x14ac:dyDescent="0.25">
      <c r="A2178" t="str">
        <f>"509"</f>
        <v>509</v>
      </c>
      <c r="B2178" t="str">
        <f>"Ing.Vlastimil Kusý Tábor"</f>
        <v>Ing.Vlastimil Kusý Tábor</v>
      </c>
      <c r="C2178" t="str">
        <f>"60060077"</f>
        <v>60060077</v>
      </c>
    </row>
    <row r="2179" spans="1:5" x14ac:dyDescent="0.25">
      <c r="A2179" t="str">
        <f>"21.07.2011"</f>
        <v>21.07.2011</v>
      </c>
      <c r="B2179" t="str">
        <f>"25.07.2011"</f>
        <v>25.07.2011</v>
      </c>
      <c r="C2179" t="str">
        <f>"26.07.2011"</f>
        <v>26.07.2011</v>
      </c>
      <c r="D2179" t="str">
        <f>"11.500,00"</f>
        <v>11.500,00</v>
      </c>
      <c r="E2179" t="str">
        <f>"11.500,00"</f>
        <v>11.500,00</v>
      </c>
    </row>
    <row r="2182" spans="1:5" x14ac:dyDescent="0.25">
      <c r="A2182" t="str">
        <f>"510"</f>
        <v>510</v>
      </c>
      <c r="B2182" t="str">
        <f>"Martin Henych  Liberec"</f>
        <v>Martin Henych  Liberec</v>
      </c>
      <c r="C2182" t="str">
        <f>"87751054"</f>
        <v>87751054</v>
      </c>
    </row>
    <row r="2183" spans="1:5" x14ac:dyDescent="0.25">
      <c r="A2183" t="str">
        <f>"22.07.2011"</f>
        <v>22.07.2011</v>
      </c>
      <c r="B2183" t="str">
        <f>"09.08.2011"</f>
        <v>09.08.2011</v>
      </c>
      <c r="C2183" t="str">
        <f>"03.08.2011"</f>
        <v>03.08.2011</v>
      </c>
      <c r="D2183" t="str">
        <f>"800,00"</f>
        <v>800,00</v>
      </c>
      <c r="E2183" t="str">
        <f>"800,00"</f>
        <v>800,00</v>
      </c>
    </row>
    <row r="2186" spans="1:5" x14ac:dyDescent="0.25">
      <c r="A2186" t="str">
        <f>"511"</f>
        <v>511</v>
      </c>
      <c r="B2186" t="str">
        <f>"Reklamní ateliér s.r.o."</f>
        <v>Reklamní ateliér s.r.o.</v>
      </c>
      <c r="C2186" t="str">
        <f>"46683160"</f>
        <v>46683160</v>
      </c>
    </row>
    <row r="2187" spans="1:5" x14ac:dyDescent="0.25">
      <c r="A2187" t="str">
        <f>"22.07.2011"</f>
        <v>22.07.2011</v>
      </c>
      <c r="B2187" t="str">
        <f>"03.08.2011"</f>
        <v>03.08.2011</v>
      </c>
      <c r="C2187" t="str">
        <f>"01.08.2011"</f>
        <v>01.08.2011</v>
      </c>
      <c r="D2187" t="str">
        <f>"7.465,00"</f>
        <v>7.465,00</v>
      </c>
      <c r="E2187" t="str">
        <f>"7.465,00"</f>
        <v>7.465,00</v>
      </c>
    </row>
    <row r="2190" spans="1:5" x14ac:dyDescent="0.25">
      <c r="A2190" t="str">
        <f>"512"</f>
        <v>512</v>
      </c>
      <c r="B2190" t="str">
        <f>"Jiří Polák Tábor"</f>
        <v>Jiří Polák Tábor</v>
      </c>
      <c r="C2190" t="str">
        <f>"74560425"</f>
        <v>74560425</v>
      </c>
    </row>
    <row r="2191" spans="1:5" x14ac:dyDescent="0.25">
      <c r="A2191" t="str">
        <f>"22.07.2011"</f>
        <v>22.07.2011</v>
      </c>
      <c r="B2191" t="str">
        <f>"05.08.2011"</f>
        <v>05.08.2011</v>
      </c>
      <c r="C2191" t="str">
        <f>"01.08.2011"</f>
        <v>01.08.2011</v>
      </c>
      <c r="D2191" t="str">
        <f>"12.600,00"</f>
        <v>12.600,00</v>
      </c>
      <c r="E2191" t="str">
        <f>"12.600,00"</f>
        <v>12.600,00</v>
      </c>
    </row>
    <row r="2194" spans="1:5" x14ac:dyDescent="0.25">
      <c r="A2194" t="str">
        <f>"513"</f>
        <v>513</v>
      </c>
      <c r="B2194" t="str">
        <f>"Správa města Soběslavi"</f>
        <v>Správa města Soběslavi</v>
      </c>
      <c r="C2194" t="str">
        <f>"26029987"</f>
        <v>26029987</v>
      </c>
    </row>
    <row r="2195" spans="1:5" x14ac:dyDescent="0.25">
      <c r="A2195" t="str">
        <f>"19.07.2011"</f>
        <v>19.07.2011</v>
      </c>
      <c r="B2195" t="str">
        <f>"02.08.2011"</f>
        <v>02.08.2011</v>
      </c>
      <c r="C2195" t="str">
        <f>"02.08.2011"</f>
        <v>02.08.2011</v>
      </c>
      <c r="D2195" t="str">
        <f>"5.376,00"</f>
        <v>5.376,00</v>
      </c>
      <c r="E2195" t="str">
        <f>"5.376,00"</f>
        <v>5.376,00</v>
      </c>
    </row>
    <row r="2198" spans="1:5" x14ac:dyDescent="0.25">
      <c r="A2198" t="str">
        <f>"514"</f>
        <v>514</v>
      </c>
      <c r="B2198" t="str">
        <f>"Správa města Soběslavi"</f>
        <v>Správa města Soběslavi</v>
      </c>
      <c r="C2198" t="str">
        <f>"26029987"</f>
        <v>26029987</v>
      </c>
    </row>
    <row r="2199" spans="1:5" x14ac:dyDescent="0.25">
      <c r="A2199" t="str">
        <f>"20.07.2011"</f>
        <v>20.07.2011</v>
      </c>
      <c r="B2199" t="str">
        <f>"02.08.2011"</f>
        <v>02.08.2011</v>
      </c>
      <c r="C2199" t="str">
        <f>"02.08.2011"</f>
        <v>02.08.2011</v>
      </c>
      <c r="D2199" t="str">
        <f>"29.407,00"</f>
        <v>29.407,00</v>
      </c>
      <c r="E2199" t="str">
        <f>"29.407,00"</f>
        <v>29.407,00</v>
      </c>
    </row>
    <row r="2202" spans="1:5" x14ac:dyDescent="0.25">
      <c r="A2202" t="str">
        <f>"515"</f>
        <v>515</v>
      </c>
      <c r="B2202" t="str">
        <f>"Českomoravský štěrk,a.s."</f>
        <v>Českomoravský štěrk,a.s.</v>
      </c>
      <c r="C2202" t="str">
        <f>"25502247"</f>
        <v>25502247</v>
      </c>
    </row>
    <row r="2203" spans="1:5" x14ac:dyDescent="0.25">
      <c r="A2203" t="str">
        <f>"21.07.2011"</f>
        <v>21.07.2011</v>
      </c>
      <c r="B2203" t="str">
        <f>"03.08.2011"</f>
        <v>03.08.2011</v>
      </c>
      <c r="C2203" t="str">
        <f>"02.08.2011"</f>
        <v>02.08.2011</v>
      </c>
      <c r="D2203" t="str">
        <f>"1.463,00"</f>
        <v>1.463,00</v>
      </c>
      <c r="E2203" t="str">
        <f>"1.463,00"</f>
        <v>1.463,00</v>
      </c>
    </row>
    <row r="2206" spans="1:5" x14ac:dyDescent="0.25">
      <c r="A2206" t="str">
        <f>"516"</f>
        <v>516</v>
      </c>
      <c r="B2206" t="str">
        <f>"INO s.r.o. Děčín"</f>
        <v>INO s.r.o. Děčín</v>
      </c>
      <c r="C2206" t="str">
        <f>"27263517"</f>
        <v>27263517</v>
      </c>
    </row>
    <row r="2207" spans="1:5" x14ac:dyDescent="0.25">
      <c r="A2207" t="str">
        <f>"22.07.2011"</f>
        <v>22.07.2011</v>
      </c>
      <c r="B2207" t="str">
        <f>"11.08.2011"</f>
        <v>11.08.2011</v>
      </c>
      <c r="C2207" t="str">
        <f>"05.08.2011"</f>
        <v>05.08.2011</v>
      </c>
      <c r="D2207" t="str">
        <f>"8.329,00"</f>
        <v>8.329,00</v>
      </c>
      <c r="E2207" t="str">
        <f>"8.329,00"</f>
        <v>8.329,00</v>
      </c>
    </row>
    <row r="2210" spans="1:5" x14ac:dyDescent="0.25">
      <c r="A2210" t="str">
        <f>"517"</f>
        <v>517</v>
      </c>
      <c r="B2210" t="str">
        <f>"Lesy ČR s.p. LS Tábor"</f>
        <v>Lesy ČR s.p. LS Tábor</v>
      </c>
      <c r="C2210" t="str">
        <f>"42196451"</f>
        <v>42196451</v>
      </c>
    </row>
    <row r="2211" spans="1:5" x14ac:dyDescent="0.25">
      <c r="A2211" t="str">
        <f>"25.07.2011"</f>
        <v>25.07.2011</v>
      </c>
      <c r="B2211" t="str">
        <f>"29.09.2011"</f>
        <v>29.09.2011</v>
      </c>
      <c r="C2211" t="str">
        <f>"28.11.2011"</f>
        <v>28.11.2011</v>
      </c>
      <c r="D2211" t="str">
        <f>"2.900,00"</f>
        <v>2.900,00</v>
      </c>
      <c r="E2211" t="str">
        <f>"2.900,00"</f>
        <v>2.900,00</v>
      </c>
    </row>
    <row r="2214" spans="1:5" x14ac:dyDescent="0.25">
      <c r="A2214" t="str">
        <f>"518"</f>
        <v>518</v>
      </c>
      <c r="B2214" t="str">
        <f>"Ing. Martin Rybář Veselí"</f>
        <v>Ing. Martin Rybář Veselí</v>
      </c>
      <c r="C2214" t="str">
        <f>"48246948"</f>
        <v>48246948</v>
      </c>
    </row>
    <row r="2215" spans="1:5" x14ac:dyDescent="0.25">
      <c r="A2215" t="str">
        <f>"25.07.2011"</f>
        <v>25.07.2011</v>
      </c>
      <c r="B2215" t="str">
        <f>"25.07.2011"</f>
        <v>25.07.2011</v>
      </c>
      <c r="C2215" t="str">
        <f>"02.08.2011"</f>
        <v>02.08.2011</v>
      </c>
      <c r="D2215" t="str">
        <f>"6.000,00"</f>
        <v>6.000,00</v>
      </c>
      <c r="E2215" t="str">
        <f>"6.000,00"</f>
        <v>6.000,00</v>
      </c>
    </row>
    <row r="2218" spans="1:5" x14ac:dyDescent="0.25">
      <c r="A2218" t="str">
        <f>"519"</f>
        <v>519</v>
      </c>
      <c r="B2218" t="str">
        <f>"Jiří Koranda Radimov"</f>
        <v>Jiří Koranda Radimov</v>
      </c>
      <c r="C2218" t="str">
        <f>"72190680"</f>
        <v>72190680</v>
      </c>
    </row>
    <row r="2219" spans="1:5" x14ac:dyDescent="0.25">
      <c r="A2219" t="str">
        <f>"26.07.2011"</f>
        <v>26.07.2011</v>
      </c>
      <c r="B2219" t="str">
        <f>"08.08.2011"</f>
        <v>08.08.2011</v>
      </c>
      <c r="C2219" t="str">
        <f>"03.08.2011"</f>
        <v>03.08.2011</v>
      </c>
      <c r="D2219" t="str">
        <f>"4.602,00"</f>
        <v>4.602,00</v>
      </c>
      <c r="E2219" t="str">
        <f>"4.602,00"</f>
        <v>4.602,00</v>
      </c>
    </row>
    <row r="2221" spans="1:5" x14ac:dyDescent="0.25">
      <c r="A2221" t="str">
        <f>"Poř.č.fak."</f>
        <v>Poř.č.fak.</v>
      </c>
      <c r="B2221" t="str">
        <f>"Dodavatel"</f>
        <v>Dodavatel</v>
      </c>
      <c r="C2221" t="str">
        <f>"IČO"</f>
        <v>IČO</v>
      </c>
    </row>
    <row r="2222" spans="1:5" x14ac:dyDescent="0.25">
      <c r="A2222" t="str">
        <f>"Došla"</f>
        <v>Došla</v>
      </c>
      <c r="B2222" t="str">
        <f>"Splatná"</f>
        <v>Splatná</v>
      </c>
      <c r="C2222" t="str">
        <f>"Zaplacená"</f>
        <v>Zaplacená</v>
      </c>
      <c r="D2222" t="str">
        <f>"Fakt.částka"</f>
        <v>Fakt.částka</v>
      </c>
      <c r="E2222" t="str">
        <f>"Celk.zaplaceno"</f>
        <v>Celk.zaplaceno</v>
      </c>
    </row>
    <row r="2223" spans="1:5" x14ac:dyDescent="0.25">
      <c r="B2223" t="str">
        <f>"Poznámka"</f>
        <v>Poznámka</v>
      </c>
    </row>
    <row r="2224" spans="1:5" x14ac:dyDescent="0.25">
      <c r="A2224" t="str">
        <f>"**********"</f>
        <v>**********</v>
      </c>
      <c r="B2224" t="str">
        <f>"**************************"</f>
        <v>**************************</v>
      </c>
      <c r="C2224" t="str">
        <f>"***********"</f>
        <v>***********</v>
      </c>
      <c r="D2224" t="str">
        <f>"***************"</f>
        <v>***************</v>
      </c>
      <c r="E2224" t="str">
        <f>"***************"</f>
        <v>***************</v>
      </c>
    </row>
    <row r="2226" spans="1:5" x14ac:dyDescent="0.25">
      <c r="A2226" t="str">
        <f>"520"</f>
        <v>520</v>
      </c>
      <c r="B2226" t="str">
        <f>"Ladislav Prchlík Klempíř"</f>
        <v>Ladislav Prchlík Klempíř</v>
      </c>
      <c r="C2226" t="str">
        <f>"73479080"</f>
        <v>73479080</v>
      </c>
    </row>
    <row r="2227" spans="1:5" x14ac:dyDescent="0.25">
      <c r="A2227" t="str">
        <f>"28.07.2011"</f>
        <v>28.07.2011</v>
      </c>
      <c r="B2227" t="str">
        <f>"30.07.2011"</f>
        <v>30.07.2011</v>
      </c>
      <c r="C2227" t="str">
        <f>"02.08.2011"</f>
        <v>02.08.2011</v>
      </c>
      <c r="D2227" t="str">
        <f>"1.650,00"</f>
        <v>1.650,00</v>
      </c>
      <c r="E2227" t="str">
        <f>"1.650,00"</f>
        <v>1.650,00</v>
      </c>
    </row>
    <row r="2230" spans="1:5" x14ac:dyDescent="0.25">
      <c r="A2230" t="str">
        <f>"521"</f>
        <v>521</v>
      </c>
      <c r="B2230" t="str">
        <f>"Autimo CZ Černošice"</f>
        <v>Autimo CZ Černošice</v>
      </c>
      <c r="C2230" t="str">
        <f>"28512561"</f>
        <v>28512561</v>
      </c>
    </row>
    <row r="2231" spans="1:5" x14ac:dyDescent="0.25">
      <c r="A2231" t="str">
        <f>"28.07.2011"</f>
        <v>28.07.2011</v>
      </c>
      <c r="B2231" t="str">
        <f>"29.07.2011"</f>
        <v>29.07.2011</v>
      </c>
      <c r="C2231" t="str">
        <f>"02.08.2011"</f>
        <v>02.08.2011</v>
      </c>
      <c r="D2231" t="str">
        <f>"2.538,00"</f>
        <v>2.538,00</v>
      </c>
      <c r="E2231" t="str">
        <f>"2.538,00"</f>
        <v>2.538,00</v>
      </c>
    </row>
    <row r="2234" spans="1:5" x14ac:dyDescent="0.25">
      <c r="A2234" t="str">
        <f>"522"</f>
        <v>522</v>
      </c>
      <c r="B2234" t="str">
        <f>"WAY UP s.r.o. Lom"</f>
        <v>WAY UP s.r.o. Lom</v>
      </c>
      <c r="C2234" t="str">
        <f>"28108701"</f>
        <v>28108701</v>
      </c>
    </row>
    <row r="2235" spans="1:5" x14ac:dyDescent="0.25">
      <c r="A2235" t="str">
        <f>"28.07.2011"</f>
        <v>28.07.2011</v>
      </c>
      <c r="B2235" t="str">
        <f>"16.08.2011"</f>
        <v>16.08.2011</v>
      </c>
      <c r="C2235" t="str">
        <f>"15.08.2011"</f>
        <v>15.08.2011</v>
      </c>
      <c r="D2235" t="str">
        <f>"4.155,00"</f>
        <v>4.155,00</v>
      </c>
      <c r="E2235" t="str">
        <f>"4.155,00"</f>
        <v>4.155,00</v>
      </c>
    </row>
    <row r="2238" spans="1:5" x14ac:dyDescent="0.25">
      <c r="A2238" t="str">
        <f>"523"</f>
        <v>523</v>
      </c>
      <c r="B2238" t="str">
        <f>"GIGACOMPUTER Č.B."</f>
        <v>GIGACOMPUTER Č.B.</v>
      </c>
      <c r="C2238" t="str">
        <f>"28080289"</f>
        <v>28080289</v>
      </c>
    </row>
    <row r="2239" spans="1:5" x14ac:dyDescent="0.25">
      <c r="A2239" t="str">
        <f>"28.07.2011"</f>
        <v>28.07.2011</v>
      </c>
      <c r="B2239" t="str">
        <f>"10.08.2011"</f>
        <v>10.08.2011</v>
      </c>
      <c r="C2239" t="str">
        <f>"08.08.2011"</f>
        <v>08.08.2011</v>
      </c>
      <c r="D2239" t="str">
        <f>"19.200,00"</f>
        <v>19.200,00</v>
      </c>
      <c r="E2239" t="str">
        <f>"19.200,00"</f>
        <v>19.200,00</v>
      </c>
    </row>
    <row r="2242" spans="1:5" x14ac:dyDescent="0.25">
      <c r="A2242" t="str">
        <f>"524"</f>
        <v>524</v>
      </c>
      <c r="B2242" t="str">
        <f>"Správa města Soběslavi"</f>
        <v>Správa města Soběslavi</v>
      </c>
      <c r="C2242" t="str">
        <f>"26029987"</f>
        <v>26029987</v>
      </c>
    </row>
    <row r="2243" spans="1:5" x14ac:dyDescent="0.25">
      <c r="A2243" t="str">
        <f>"28.07.2011"</f>
        <v>28.07.2011</v>
      </c>
      <c r="B2243" t="str">
        <f>"09.08.2011"</f>
        <v>09.08.2011</v>
      </c>
      <c r="C2243" t="str">
        <f>"03.08.2011"</f>
        <v>03.08.2011</v>
      </c>
      <c r="D2243" t="str">
        <f>"32.095,00"</f>
        <v>32.095,00</v>
      </c>
      <c r="E2243" t="str">
        <f>"32.095,00"</f>
        <v>32.095,00</v>
      </c>
    </row>
    <row r="2246" spans="1:5" x14ac:dyDescent="0.25">
      <c r="A2246" t="str">
        <f>"525"</f>
        <v>525</v>
      </c>
      <c r="B2246" t="str">
        <f>"Jindřich Vondra Soběslav"</f>
        <v>Jindřich Vondra Soběslav</v>
      </c>
      <c r="C2246" t="str">
        <f>"16842065"</f>
        <v>16842065</v>
      </c>
    </row>
    <row r="2247" spans="1:5" x14ac:dyDescent="0.25">
      <c r="A2247" t="str">
        <f>"28.07.2011"</f>
        <v>28.07.2011</v>
      </c>
      <c r="B2247" t="str">
        <f>"31.07.2011"</f>
        <v>31.07.2011</v>
      </c>
      <c r="C2247" t="str">
        <f>"02.08.2011"</f>
        <v>02.08.2011</v>
      </c>
      <c r="D2247" t="str">
        <f>"95.828,00"</f>
        <v>95.828,00</v>
      </c>
      <c r="E2247" t="str">
        <f>"95.828,00"</f>
        <v>95.828,00</v>
      </c>
    </row>
    <row r="2250" spans="1:5" x14ac:dyDescent="0.25">
      <c r="A2250" t="str">
        <f>"526"</f>
        <v>526</v>
      </c>
      <c r="B2250" t="str">
        <f>"Dopravní značení Tábor"</f>
        <v>Dopravní značení Tábor</v>
      </c>
      <c r="C2250" t="str">
        <f>"26113287"</f>
        <v>26113287</v>
      </c>
    </row>
    <row r="2251" spans="1:5" x14ac:dyDescent="0.25">
      <c r="A2251" t="str">
        <f>"29.07.2011"</f>
        <v>29.07.2011</v>
      </c>
      <c r="B2251" t="str">
        <f>"12.08.2011"</f>
        <v>12.08.2011</v>
      </c>
      <c r="C2251" t="str">
        <f>"11.08.2011"</f>
        <v>11.08.2011</v>
      </c>
      <c r="D2251" t="str">
        <f>"6.247,20"</f>
        <v>6.247,20</v>
      </c>
      <c r="E2251" t="str">
        <f>"6.247,20"</f>
        <v>6.247,20</v>
      </c>
    </row>
    <row r="2254" spans="1:5" x14ac:dyDescent="0.25">
      <c r="A2254" t="str">
        <f>"527"</f>
        <v>527</v>
      </c>
      <c r="B2254" t="str">
        <f>"Ing.arch.Jaromír Kročák"</f>
        <v>Ing.arch.Jaromír Kročák</v>
      </c>
      <c r="C2254" t="str">
        <f>"10271911"</f>
        <v>10271911</v>
      </c>
    </row>
    <row r="2255" spans="1:5" x14ac:dyDescent="0.25">
      <c r="A2255" t="str">
        <f>"29.07.2011"</f>
        <v>29.07.2011</v>
      </c>
      <c r="B2255" t="str">
        <f>"10.08.2011"</f>
        <v>10.08.2011</v>
      </c>
      <c r="C2255" t="str">
        <f>"05.08.2011"</f>
        <v>05.08.2011</v>
      </c>
      <c r="D2255" t="str">
        <f>"21.360,00"</f>
        <v>21.360,00</v>
      </c>
      <c r="E2255" t="str">
        <f>"21.360,00"</f>
        <v>21.360,00</v>
      </c>
    </row>
    <row r="2258" spans="1:5" x14ac:dyDescent="0.25">
      <c r="A2258" t="str">
        <f>"528"</f>
        <v>528</v>
      </c>
      <c r="B2258" t="str">
        <f>"Ing. Jiří Lagner  Soběsla"</f>
        <v>Ing. Jiří Lagner  Soběsla</v>
      </c>
      <c r="C2258" t="str">
        <f>"10326227"</f>
        <v>10326227</v>
      </c>
    </row>
    <row r="2259" spans="1:5" x14ac:dyDescent="0.25">
      <c r="A2259" t="str">
        <f>"29.07.2011"</f>
        <v>29.07.2011</v>
      </c>
      <c r="B2259" t="str">
        <f>"12.08.2011"</f>
        <v>12.08.2011</v>
      </c>
      <c r="C2259" t="str">
        <f>"08.08.2011"</f>
        <v>08.08.2011</v>
      </c>
      <c r="D2259" t="str">
        <f>"51.000,00"</f>
        <v>51.000,00</v>
      </c>
      <c r="E2259" t="str">
        <f>"51.000,00"</f>
        <v>51.000,00</v>
      </c>
    </row>
    <row r="2262" spans="1:5" x14ac:dyDescent="0.25">
      <c r="A2262" t="str">
        <f>"529"</f>
        <v>529</v>
      </c>
      <c r="B2262" t="str">
        <f>"Java Třeboň"</f>
        <v>Java Třeboň</v>
      </c>
      <c r="C2262" t="str">
        <f>"15792994"</f>
        <v>15792994</v>
      </c>
    </row>
    <row r="2263" spans="1:5" x14ac:dyDescent="0.25">
      <c r="A2263" t="str">
        <f>"01.08.2011"</f>
        <v>01.08.2011</v>
      </c>
      <c r="B2263" t="str">
        <f>"07.08.2011"</f>
        <v>07.08.2011</v>
      </c>
      <c r="C2263" t="str">
        <f>"05.08.2011"</f>
        <v>05.08.2011</v>
      </c>
      <c r="D2263" t="str">
        <f>"30.800,00"</f>
        <v>30.800,00</v>
      </c>
      <c r="E2263" t="str">
        <f>"30.800,00"</f>
        <v>30.800,00</v>
      </c>
    </row>
    <row r="2266" spans="1:5" x14ac:dyDescent="0.25">
      <c r="A2266" t="str">
        <f>"530"</f>
        <v>530</v>
      </c>
      <c r="B2266" t="str">
        <f>"KONICA MINOLTA s.r.o."</f>
        <v>KONICA MINOLTA s.r.o.</v>
      </c>
      <c r="C2266" t="str">
        <f>"00176150"</f>
        <v>00176150</v>
      </c>
    </row>
    <row r="2267" spans="1:5" x14ac:dyDescent="0.25">
      <c r="A2267" t="str">
        <f>"02.08.2011"</f>
        <v>02.08.2011</v>
      </c>
      <c r="B2267" t="str">
        <f>"09.08.2011"</f>
        <v>09.08.2011</v>
      </c>
      <c r="C2267" t="str">
        <f>"05.08.2011"</f>
        <v>05.08.2011</v>
      </c>
      <c r="D2267" t="str">
        <f>"5.700,30"</f>
        <v>5.700,30</v>
      </c>
      <c r="E2267" t="str">
        <f>"5.700,30"</f>
        <v>5.700,30</v>
      </c>
    </row>
    <row r="2270" spans="1:5" x14ac:dyDescent="0.25">
      <c r="A2270" t="str">
        <f>"531"</f>
        <v>531</v>
      </c>
      <c r="B2270" t="str">
        <f>"QASAR s.r.o. Mažice"</f>
        <v>QASAR s.r.o. Mažice</v>
      </c>
      <c r="C2270" t="str">
        <f>"25192469"</f>
        <v>25192469</v>
      </c>
    </row>
    <row r="2271" spans="1:5" x14ac:dyDescent="0.25">
      <c r="A2271" t="str">
        <f>"03.08.2011"</f>
        <v>03.08.2011</v>
      </c>
      <c r="B2271" t="str">
        <f>"31.08.2011"</f>
        <v>31.08.2011</v>
      </c>
      <c r="C2271" t="str">
        <f>"26.08.2011"</f>
        <v>26.08.2011</v>
      </c>
      <c r="D2271" t="str">
        <f>"4.800,00"</f>
        <v>4.800,00</v>
      </c>
      <c r="E2271" t="str">
        <f>"4.800,00"</f>
        <v>4.800,00</v>
      </c>
    </row>
    <row r="2274" spans="1:5" x14ac:dyDescent="0.25">
      <c r="A2274" t="str">
        <f>"532"</f>
        <v>532</v>
      </c>
      <c r="B2274" t="str">
        <f>"Správa města Soběslavi"</f>
        <v>Správa města Soběslavi</v>
      </c>
      <c r="C2274" t="str">
        <f>"26029987"</f>
        <v>26029987</v>
      </c>
    </row>
    <row r="2275" spans="1:5" x14ac:dyDescent="0.25">
      <c r="A2275" t="str">
        <f>"03.08.2011"</f>
        <v>03.08.2011</v>
      </c>
      <c r="B2275" t="str">
        <f>"16.08.2011"</f>
        <v>16.08.2011</v>
      </c>
      <c r="C2275" t="str">
        <f>"15.08.2011"</f>
        <v>15.08.2011</v>
      </c>
      <c r="D2275" t="str">
        <f>"10.307,00"</f>
        <v>10.307,00</v>
      </c>
      <c r="E2275" t="str">
        <f>"10.307,00"</f>
        <v>10.307,00</v>
      </c>
    </row>
    <row r="2278" spans="1:5" x14ac:dyDescent="0.25">
      <c r="A2278" t="str">
        <f>"533"</f>
        <v>533</v>
      </c>
      <c r="B2278" t="str">
        <f>"Reklamní ateliér s.r.o."</f>
        <v>Reklamní ateliér s.r.o.</v>
      </c>
      <c r="C2278" t="str">
        <f>"46683160"</f>
        <v>46683160</v>
      </c>
    </row>
    <row r="2279" spans="1:5" x14ac:dyDescent="0.25">
      <c r="A2279" t="str">
        <f>"03.08.2011"</f>
        <v>03.08.2011</v>
      </c>
      <c r="B2279" t="str">
        <f>"16.08.2011"</f>
        <v>16.08.2011</v>
      </c>
      <c r="C2279" t="str">
        <f>"15.08.2011"</f>
        <v>15.08.2011</v>
      </c>
      <c r="D2279" t="str">
        <f>"17.208,00"</f>
        <v>17.208,00</v>
      </c>
      <c r="E2279" t="str">
        <f>"17.208,00"</f>
        <v>17.208,00</v>
      </c>
    </row>
    <row r="2281" spans="1:5" x14ac:dyDescent="0.25">
      <c r="A2281" t="str">
        <f>"Poř.č.fak."</f>
        <v>Poř.č.fak.</v>
      </c>
      <c r="B2281" t="str">
        <f>"Dodavatel"</f>
        <v>Dodavatel</v>
      </c>
      <c r="C2281" t="str">
        <f>"IČO"</f>
        <v>IČO</v>
      </c>
    </row>
    <row r="2282" spans="1:5" x14ac:dyDescent="0.25">
      <c r="A2282" t="str">
        <f>"Došla"</f>
        <v>Došla</v>
      </c>
      <c r="B2282" t="str">
        <f>"Splatná"</f>
        <v>Splatná</v>
      </c>
      <c r="C2282" t="str">
        <f>"Zaplacená"</f>
        <v>Zaplacená</v>
      </c>
      <c r="D2282" t="str">
        <f>"Fakt.částka"</f>
        <v>Fakt.částka</v>
      </c>
      <c r="E2282" t="str">
        <f>"Celk.zaplaceno"</f>
        <v>Celk.zaplaceno</v>
      </c>
    </row>
    <row r="2283" spans="1:5" x14ac:dyDescent="0.25">
      <c r="B2283" t="str">
        <f>"Poznámka"</f>
        <v>Poznámka</v>
      </c>
    </row>
    <row r="2284" spans="1:5" x14ac:dyDescent="0.25">
      <c r="A2284" t="str">
        <f>"**********"</f>
        <v>**********</v>
      </c>
      <c r="B2284" t="str">
        <f>"**************************"</f>
        <v>**************************</v>
      </c>
      <c r="C2284" t="str">
        <f>"***********"</f>
        <v>***********</v>
      </c>
      <c r="D2284" t="str">
        <f>"***************"</f>
        <v>***************</v>
      </c>
      <c r="E2284" t="str">
        <f>"***************"</f>
        <v>***************</v>
      </c>
    </row>
    <row r="2286" spans="1:5" x14ac:dyDescent="0.25">
      <c r="A2286" t="str">
        <f>"534"</f>
        <v>534</v>
      </c>
      <c r="B2286" t="str">
        <f>"Sodexo Pass ČR a.s. Praha"</f>
        <v>Sodexo Pass ČR a.s. Praha</v>
      </c>
      <c r="C2286" t="str">
        <f>"61860476"</f>
        <v>61860476</v>
      </c>
    </row>
    <row r="2287" spans="1:5" x14ac:dyDescent="0.25">
      <c r="A2287" t="str">
        <f>"03.08.2011"</f>
        <v>03.08.2011</v>
      </c>
      <c r="B2287" t="str">
        <f>"16.08.2011"</f>
        <v>16.08.2011</v>
      </c>
      <c r="C2287" t="str">
        <f>"15.08.2011"</f>
        <v>15.08.2011</v>
      </c>
      <c r="D2287" t="str">
        <f>"40.204,00"</f>
        <v>40.204,00</v>
      </c>
      <c r="E2287" t="str">
        <f>"40.204,00"</f>
        <v>40.204,00</v>
      </c>
    </row>
    <row r="2290" spans="1:5" x14ac:dyDescent="0.25">
      <c r="A2290" t="str">
        <f>"535"</f>
        <v>535</v>
      </c>
      <c r="B2290" t="str">
        <f>"Telefónica 02 CR, a.s."</f>
        <v>Telefónica 02 CR, a.s.</v>
      </c>
      <c r="C2290" t="str">
        <f>"60193336"</f>
        <v>60193336</v>
      </c>
    </row>
    <row r="2291" spans="1:5" x14ac:dyDescent="0.25">
      <c r="A2291" t="str">
        <f>"04.08.2011"</f>
        <v>04.08.2011</v>
      </c>
      <c r="B2291" t="str">
        <f>"16.08.2011"</f>
        <v>16.08.2011</v>
      </c>
      <c r="C2291" t="str">
        <f>"15.08.2011"</f>
        <v>15.08.2011</v>
      </c>
      <c r="D2291" t="str">
        <f>"46,31"</f>
        <v>46,31</v>
      </c>
      <c r="E2291" t="str">
        <f>"46,31"</f>
        <v>46,31</v>
      </c>
    </row>
    <row r="2294" spans="1:5" x14ac:dyDescent="0.25">
      <c r="A2294" t="str">
        <f>"536"</f>
        <v>536</v>
      </c>
      <c r="B2294" t="str">
        <f>"Petr Vacek Soběslav"</f>
        <v>Petr Vacek Soběslav</v>
      </c>
      <c r="C2294" t="str">
        <f>"62511637"</f>
        <v>62511637</v>
      </c>
    </row>
    <row r="2295" spans="1:5" x14ac:dyDescent="0.25">
      <c r="A2295" t="str">
        <f>"04.08.2011"</f>
        <v>04.08.2011</v>
      </c>
      <c r="B2295" t="str">
        <f>"08.08.2011"</f>
        <v>08.08.2011</v>
      </c>
      <c r="C2295" t="str">
        <f>"10.08.2011"</f>
        <v>10.08.2011</v>
      </c>
      <c r="D2295" t="str">
        <f>"14.580,00"</f>
        <v>14.580,00</v>
      </c>
      <c r="E2295" t="str">
        <f>"14.580,00"</f>
        <v>14.580,00</v>
      </c>
    </row>
    <row r="2298" spans="1:5" x14ac:dyDescent="0.25">
      <c r="A2298" t="str">
        <f>"537"</f>
        <v>537</v>
      </c>
      <c r="B2298" t="str">
        <f>"Hajný-T s.r.o."</f>
        <v>Hajný-T s.r.o.</v>
      </c>
      <c r="C2298" t="str">
        <f>"63886839"</f>
        <v>63886839</v>
      </c>
    </row>
    <row r="2299" spans="1:5" x14ac:dyDescent="0.25">
      <c r="A2299" t="str">
        <f>"05.08.2011"</f>
        <v>05.08.2011</v>
      </c>
      <c r="B2299" t="str">
        <f>"15.08.2011"</f>
        <v>15.08.2011</v>
      </c>
      <c r="C2299" t="str">
        <f>"11.08.2011"</f>
        <v>11.08.2011</v>
      </c>
      <c r="D2299" t="str">
        <f>"444,00"</f>
        <v>444,00</v>
      </c>
      <c r="E2299" t="str">
        <f>"444,00"</f>
        <v>444,00</v>
      </c>
    </row>
    <row r="2302" spans="1:5" x14ac:dyDescent="0.25">
      <c r="A2302" t="str">
        <f>"538"</f>
        <v>538</v>
      </c>
      <c r="B2302" t="str">
        <f>"DCS Systems,s.r.o. Praha"</f>
        <v>DCS Systems,s.r.o. Praha</v>
      </c>
      <c r="C2302" t="str">
        <f>"26178842"</f>
        <v>26178842</v>
      </c>
    </row>
    <row r="2303" spans="1:5" x14ac:dyDescent="0.25">
      <c r="A2303" t="str">
        <f>"05.08.2011"</f>
        <v>05.08.2011</v>
      </c>
      <c r="B2303" t="str">
        <f>"12.08.2011"</f>
        <v>12.08.2011</v>
      </c>
      <c r="C2303" t="str">
        <f>"10.08.2011"</f>
        <v>10.08.2011</v>
      </c>
      <c r="D2303" t="str">
        <f>"1.200,00"</f>
        <v>1.200,00</v>
      </c>
      <c r="E2303" t="str">
        <f>"1.200,00"</f>
        <v>1.200,00</v>
      </c>
    </row>
    <row r="2306" spans="1:5" x14ac:dyDescent="0.25">
      <c r="A2306" t="str">
        <f>"539"</f>
        <v>539</v>
      </c>
      <c r="B2306" t="str">
        <f>"Hajný-T s.r.o."</f>
        <v>Hajný-T s.r.o.</v>
      </c>
      <c r="C2306" t="str">
        <f>"63886839"</f>
        <v>63886839</v>
      </c>
    </row>
    <row r="2307" spans="1:5" x14ac:dyDescent="0.25">
      <c r="A2307" t="str">
        <f>"05.08.2011"</f>
        <v>05.08.2011</v>
      </c>
      <c r="B2307" t="str">
        <f>"15.08.2011"</f>
        <v>15.08.2011</v>
      </c>
      <c r="C2307" t="str">
        <f>"11.08.2011"</f>
        <v>11.08.2011</v>
      </c>
      <c r="D2307" t="str">
        <f>"2.000,00"</f>
        <v>2.000,00</v>
      </c>
      <c r="E2307" t="str">
        <f>"2.000,00"</f>
        <v>2.000,00</v>
      </c>
    </row>
    <row r="2310" spans="1:5" x14ac:dyDescent="0.25">
      <c r="A2310" t="str">
        <f>"540"</f>
        <v>540</v>
      </c>
      <c r="B2310" t="str">
        <f>"Česká pošta ,s.p. Praha 1"</f>
        <v>Česká pošta ,s.p. Praha 1</v>
      </c>
      <c r="C2310" t="str">
        <f>"47114983"</f>
        <v>47114983</v>
      </c>
    </row>
    <row r="2311" spans="1:5" x14ac:dyDescent="0.25">
      <c r="A2311" t="str">
        <f>"05.08.2011"</f>
        <v>05.08.2011</v>
      </c>
      <c r="B2311" t="str">
        <f>"17.08.2011"</f>
        <v>17.08.2011</v>
      </c>
      <c r="C2311" t="str">
        <f>"16.08.2011"</f>
        <v>16.08.2011</v>
      </c>
      <c r="D2311" t="str">
        <f>"29.932,00"</f>
        <v>29.932,00</v>
      </c>
      <c r="E2311" t="str">
        <f>"29.932,00"</f>
        <v>29.932,00</v>
      </c>
    </row>
    <row r="2314" spans="1:5" x14ac:dyDescent="0.25">
      <c r="A2314" t="str">
        <f>"541"</f>
        <v>541</v>
      </c>
      <c r="B2314" t="str">
        <f>"Telefónica 02 CR a.s."</f>
        <v>Telefónica 02 CR a.s.</v>
      </c>
      <c r="C2314" t="str">
        <f>"60193336"</f>
        <v>60193336</v>
      </c>
    </row>
    <row r="2315" spans="1:5" x14ac:dyDescent="0.25">
      <c r="A2315" t="str">
        <f>"08.08.2011"</f>
        <v>08.08.2011</v>
      </c>
      <c r="B2315" t="str">
        <f>"18.08.2011"</f>
        <v>18.08.2011</v>
      </c>
      <c r="C2315" t="str">
        <f>"16.08.2011"</f>
        <v>16.08.2011</v>
      </c>
      <c r="D2315" t="str">
        <f>"1,20"</f>
        <v>1,20</v>
      </c>
      <c r="E2315" t="str">
        <f>"1,20"</f>
        <v>1,20</v>
      </c>
    </row>
    <row r="2318" spans="1:5" x14ac:dyDescent="0.25">
      <c r="A2318" t="str">
        <f>"542"</f>
        <v>542</v>
      </c>
      <c r="B2318" t="str">
        <f>"Česká pošta ,s.p. Praha 1"</f>
        <v>Česká pošta ,s.p. Praha 1</v>
      </c>
      <c r="C2318" t="str">
        <f>"47114983"</f>
        <v>47114983</v>
      </c>
    </row>
    <row r="2319" spans="1:5" x14ac:dyDescent="0.25">
      <c r="A2319" t="str">
        <f>"08.08.2011"</f>
        <v>08.08.2011</v>
      </c>
      <c r="B2319" t="str">
        <f>"18.08.2011"</f>
        <v>18.08.2011</v>
      </c>
      <c r="C2319" t="str">
        <f>"16.08.2011"</f>
        <v>16.08.2011</v>
      </c>
      <c r="D2319" t="str">
        <f>"378,00"</f>
        <v>378,00</v>
      </c>
      <c r="E2319" t="str">
        <f>"378,00"</f>
        <v>378,00</v>
      </c>
    </row>
    <row r="2322" spans="1:5" x14ac:dyDescent="0.25">
      <c r="A2322" t="str">
        <f>"543"</f>
        <v>543</v>
      </c>
      <c r="B2322" t="str">
        <f>"Telefónica 02 CR a.s."</f>
        <v>Telefónica 02 CR a.s.</v>
      </c>
      <c r="C2322" t="str">
        <f>"60193336"</f>
        <v>60193336</v>
      </c>
    </row>
    <row r="2323" spans="1:5" x14ac:dyDescent="0.25">
      <c r="A2323" t="str">
        <f>"08.08.2011"</f>
        <v>08.08.2011</v>
      </c>
      <c r="B2323" t="str">
        <f>"18.08.2011"</f>
        <v>18.08.2011</v>
      </c>
      <c r="C2323" t="str">
        <f>"16.08.2011"</f>
        <v>16.08.2011</v>
      </c>
      <c r="D2323" t="str">
        <f>"604,69"</f>
        <v>604,69</v>
      </c>
      <c r="E2323" t="str">
        <f>"604,69"</f>
        <v>604,69</v>
      </c>
    </row>
    <row r="2326" spans="1:5" x14ac:dyDescent="0.25">
      <c r="A2326" t="str">
        <f>"544"</f>
        <v>544</v>
      </c>
      <c r="B2326" t="str">
        <f>"BANNER s.r.o. Sez. Ústí"</f>
        <v>BANNER s.r.o. Sez. Ústí</v>
      </c>
      <c r="C2326" t="str">
        <f>"46682821"</f>
        <v>46682821</v>
      </c>
    </row>
    <row r="2327" spans="1:5" x14ac:dyDescent="0.25">
      <c r="A2327" t="str">
        <f>"08.08.2011"</f>
        <v>08.08.2011</v>
      </c>
      <c r="B2327" t="str">
        <f>"22.08.2011"</f>
        <v>22.08.2011</v>
      </c>
      <c r="C2327" t="str">
        <f>"17.08.2011"</f>
        <v>17.08.2011</v>
      </c>
      <c r="D2327" t="str">
        <f>"2.188,00"</f>
        <v>2.188,00</v>
      </c>
      <c r="E2327" t="str">
        <f>"2.188,00"</f>
        <v>2.188,00</v>
      </c>
    </row>
    <row r="2330" spans="1:5" x14ac:dyDescent="0.25">
      <c r="A2330" t="str">
        <f>"545"</f>
        <v>545</v>
      </c>
      <c r="B2330" t="str">
        <f>"Telefónica 02 CR a.s."</f>
        <v>Telefónica 02 CR a.s.</v>
      </c>
      <c r="C2330" t="str">
        <f>"60193336"</f>
        <v>60193336</v>
      </c>
    </row>
    <row r="2331" spans="1:5" x14ac:dyDescent="0.25">
      <c r="A2331" t="str">
        <f>"08.08.2011"</f>
        <v>08.08.2011</v>
      </c>
      <c r="B2331" t="str">
        <f>"18.08.2011"</f>
        <v>18.08.2011</v>
      </c>
      <c r="C2331" t="str">
        <f>"16.08.2011"</f>
        <v>16.08.2011</v>
      </c>
      <c r="D2331" t="str">
        <f>"5.140,49"</f>
        <v>5.140,49</v>
      </c>
      <c r="E2331" t="str">
        <f>"5.140,49"</f>
        <v>5.140,49</v>
      </c>
    </row>
    <row r="2334" spans="1:5" x14ac:dyDescent="0.25">
      <c r="A2334" t="str">
        <f>"546"</f>
        <v>546</v>
      </c>
      <c r="B2334" t="str">
        <f>"BENZINA ,s.r.o. Praha 4"</f>
        <v>BENZINA ,s.r.o. Praha 4</v>
      </c>
      <c r="C2334" t="str">
        <f>"60193328"</f>
        <v>60193328</v>
      </c>
    </row>
    <row r="2335" spans="1:5" x14ac:dyDescent="0.25">
      <c r="A2335" t="str">
        <f>"08.08.2011"</f>
        <v>08.08.2011</v>
      </c>
      <c r="B2335" t="str">
        <f>"05.08.2011"</f>
        <v>05.08.2011</v>
      </c>
      <c r="C2335" t="str">
        <f>"05.08.2011"</f>
        <v>05.08.2011</v>
      </c>
      <c r="D2335" t="str">
        <f>"8.590,81"</f>
        <v>8.590,81</v>
      </c>
      <c r="E2335" t="str">
        <f>"8.590,81"</f>
        <v>8.590,81</v>
      </c>
    </row>
    <row r="2338" spans="1:5" x14ac:dyDescent="0.25">
      <c r="A2338" t="str">
        <f>"547"</f>
        <v>547</v>
      </c>
      <c r="B2338" t="str">
        <f>"Telefónica 02 CR, a.s."</f>
        <v>Telefónica 02 CR, a.s.</v>
      </c>
      <c r="C2338" t="str">
        <f>"60193336"</f>
        <v>60193336</v>
      </c>
    </row>
    <row r="2339" spans="1:5" x14ac:dyDescent="0.25">
      <c r="A2339" t="str">
        <f>"08.08.2011"</f>
        <v>08.08.2011</v>
      </c>
      <c r="B2339" t="str">
        <f>"16.08.2011"</f>
        <v>16.08.2011</v>
      </c>
      <c r="C2339" t="str">
        <f>"16.08.2011"</f>
        <v>16.08.2011</v>
      </c>
      <c r="D2339" t="str">
        <f>"17.210,15"</f>
        <v>17.210,15</v>
      </c>
      <c r="E2339" t="str">
        <f>"17.210,15"</f>
        <v>17.210,15</v>
      </c>
    </row>
    <row r="2341" spans="1:5" x14ac:dyDescent="0.25">
      <c r="A2341" t="str">
        <f>"Poř.č.fak."</f>
        <v>Poř.č.fak.</v>
      </c>
      <c r="B2341" t="str">
        <f>"Dodavatel"</f>
        <v>Dodavatel</v>
      </c>
      <c r="C2341" t="str">
        <f>"IČO"</f>
        <v>IČO</v>
      </c>
    </row>
    <row r="2342" spans="1:5" x14ac:dyDescent="0.25">
      <c r="A2342" t="str">
        <f>"Došla"</f>
        <v>Došla</v>
      </c>
      <c r="B2342" t="str">
        <f>"Splatná"</f>
        <v>Splatná</v>
      </c>
      <c r="C2342" t="str">
        <f>"Zaplacená"</f>
        <v>Zaplacená</v>
      </c>
      <c r="D2342" t="str">
        <f>"Fakt.částka"</f>
        <v>Fakt.částka</v>
      </c>
      <c r="E2342" t="str">
        <f>"Celk.zaplaceno"</f>
        <v>Celk.zaplaceno</v>
      </c>
    </row>
    <row r="2343" spans="1:5" x14ac:dyDescent="0.25">
      <c r="B2343" t="str">
        <f>"Poznámka"</f>
        <v>Poznámka</v>
      </c>
    </row>
    <row r="2344" spans="1:5" x14ac:dyDescent="0.25">
      <c r="A2344" t="str">
        <f>"**********"</f>
        <v>**********</v>
      </c>
      <c r="B2344" t="str">
        <f>"**************************"</f>
        <v>**************************</v>
      </c>
      <c r="C2344" t="str">
        <f>"***********"</f>
        <v>***********</v>
      </c>
      <c r="D2344" t="str">
        <f>"***************"</f>
        <v>***************</v>
      </c>
      <c r="E2344" t="str">
        <f>"***************"</f>
        <v>***************</v>
      </c>
    </row>
    <row r="2346" spans="1:5" x14ac:dyDescent="0.25">
      <c r="A2346" t="str">
        <f>"548"</f>
        <v>548</v>
      </c>
      <c r="B2346" t="str">
        <f>"JIHOSTAV s.r.o. Soběslav"</f>
        <v>JIHOSTAV s.r.o. Soběslav</v>
      </c>
      <c r="C2346" t="str">
        <f>"47239484"</f>
        <v>47239484</v>
      </c>
    </row>
    <row r="2347" spans="1:5" x14ac:dyDescent="0.25">
      <c r="A2347" t="str">
        <f>"08.08.2011"</f>
        <v>08.08.2011</v>
      </c>
      <c r="B2347" t="str">
        <f>"15.08.2011"</f>
        <v>15.08.2011</v>
      </c>
      <c r="C2347" t="str">
        <f>"11.08.2011"</f>
        <v>11.08.2011</v>
      </c>
      <c r="D2347" t="str">
        <f>"335.712,00"</f>
        <v>335.712,00</v>
      </c>
      <c r="E2347" t="str">
        <f>"335.712,00"</f>
        <v>335.712,00</v>
      </c>
    </row>
    <row r="2350" spans="1:5" x14ac:dyDescent="0.25">
      <c r="A2350" t="str">
        <f>"549"</f>
        <v>549</v>
      </c>
      <c r="B2350" t="str">
        <f>"GEOVAP s.r.o. Pardubice"</f>
        <v>GEOVAP s.r.o. Pardubice</v>
      </c>
      <c r="C2350" t="str">
        <f>"15049248"</f>
        <v>15049248</v>
      </c>
    </row>
    <row r="2351" spans="1:5" x14ac:dyDescent="0.25">
      <c r="A2351" t="str">
        <f>"09.08.2011"</f>
        <v>09.08.2011</v>
      </c>
      <c r="B2351" t="str">
        <f>"19.08.2011"</f>
        <v>19.08.2011</v>
      </c>
      <c r="C2351" t="str">
        <f>"17.08.2011"</f>
        <v>17.08.2011</v>
      </c>
      <c r="D2351" t="str">
        <f>"2.000,00"</f>
        <v>2.000,00</v>
      </c>
      <c r="E2351" t="str">
        <f>"2.000,00"</f>
        <v>2.000,00</v>
      </c>
    </row>
    <row r="2354" spans="1:5" x14ac:dyDescent="0.25">
      <c r="A2354" t="str">
        <f>"550"</f>
        <v>550</v>
      </c>
      <c r="B2354" t="str">
        <f>"GEOVAP s.r.o. Pardubice"</f>
        <v>GEOVAP s.r.o. Pardubice</v>
      </c>
      <c r="C2354" t="str">
        <f>"15049248"</f>
        <v>15049248</v>
      </c>
    </row>
    <row r="2355" spans="1:5" x14ac:dyDescent="0.25">
      <c r="A2355" t="str">
        <f>"09.08.2011"</f>
        <v>09.08.2011</v>
      </c>
      <c r="B2355" t="str">
        <f>"19.08.2011"</f>
        <v>19.08.2011</v>
      </c>
      <c r="C2355" t="str">
        <f>"17.08.2011"</f>
        <v>17.08.2011</v>
      </c>
      <c r="D2355" t="str">
        <f>"5.010,00"</f>
        <v>5.010,00</v>
      </c>
      <c r="E2355" t="str">
        <f>"5.010,00"</f>
        <v>5.010,00</v>
      </c>
    </row>
    <row r="2358" spans="1:5" x14ac:dyDescent="0.25">
      <c r="A2358" t="str">
        <f>"551"</f>
        <v>551</v>
      </c>
      <c r="B2358" t="str">
        <f>"Správa města Soběslavi"</f>
        <v>Správa města Soběslavi</v>
      </c>
      <c r="C2358" t="str">
        <f>"26029987"</f>
        <v>26029987</v>
      </c>
    </row>
    <row r="2359" spans="1:5" x14ac:dyDescent="0.25">
      <c r="A2359" t="str">
        <f>"09.08.2011"</f>
        <v>09.08.2011</v>
      </c>
      <c r="B2359" t="str">
        <f>"23.08.2011"</f>
        <v>23.08.2011</v>
      </c>
      <c r="C2359" t="str">
        <f>"22.08.2011"</f>
        <v>22.08.2011</v>
      </c>
      <c r="D2359" t="str">
        <f>"940.000,00"</f>
        <v>940.000,00</v>
      </c>
      <c r="E2359" t="str">
        <f>"940.000,00"</f>
        <v>940.000,00</v>
      </c>
    </row>
    <row r="2362" spans="1:5" x14ac:dyDescent="0.25">
      <c r="A2362" t="str">
        <f>"552"</f>
        <v>552</v>
      </c>
      <c r="B2362" t="str">
        <f>"KONICA MINOLTA s.r.o."</f>
        <v>KONICA MINOLTA s.r.o.</v>
      </c>
      <c r="C2362" t="str">
        <f>"00176150"</f>
        <v>00176150</v>
      </c>
    </row>
    <row r="2363" spans="1:5" x14ac:dyDescent="0.25">
      <c r="A2363" t="str">
        <f>"10.08.2011"</f>
        <v>10.08.2011</v>
      </c>
      <c r="B2363" t="str">
        <f>"16.08.2011"</f>
        <v>16.08.2011</v>
      </c>
      <c r="C2363" t="str">
        <f>"15.08.2011"</f>
        <v>15.08.2011</v>
      </c>
      <c r="D2363" t="str">
        <f>"367,20"</f>
        <v>367,20</v>
      </c>
      <c r="E2363" t="str">
        <f>"367,20"</f>
        <v>367,20</v>
      </c>
    </row>
    <row r="2366" spans="1:5" x14ac:dyDescent="0.25">
      <c r="A2366" t="str">
        <f>"553"</f>
        <v>553</v>
      </c>
      <c r="B2366" t="str">
        <f>"KONICA MINOLTA s.r.o."</f>
        <v>KONICA MINOLTA s.r.o.</v>
      </c>
      <c r="C2366" t="str">
        <f>"00176150"</f>
        <v>00176150</v>
      </c>
    </row>
    <row r="2367" spans="1:5" x14ac:dyDescent="0.25">
      <c r="A2367" t="str">
        <f>"10.08.2011"</f>
        <v>10.08.2011</v>
      </c>
      <c r="B2367" t="str">
        <f>"16.08.2011"</f>
        <v>16.08.2011</v>
      </c>
      <c r="C2367" t="str">
        <f>"15.08.2011"</f>
        <v>15.08.2011</v>
      </c>
      <c r="D2367" t="str">
        <f>"1.729,70"</f>
        <v>1.729,70</v>
      </c>
      <c r="E2367" t="str">
        <f>"1.729,70"</f>
        <v>1.729,70</v>
      </c>
    </row>
    <row r="2370" spans="1:5" x14ac:dyDescent="0.25">
      <c r="A2370" t="str">
        <f>"554"</f>
        <v>554</v>
      </c>
      <c r="B2370" t="str">
        <f>"Česká pošta, s.p. Praha"</f>
        <v>Česká pošta, s.p. Praha</v>
      </c>
      <c r="C2370" t="str">
        <f>"47114983"</f>
        <v>47114983</v>
      </c>
    </row>
    <row r="2371" spans="1:5" x14ac:dyDescent="0.25">
      <c r="A2371" t="str">
        <f>"10.08.2011"</f>
        <v>10.08.2011</v>
      </c>
      <c r="B2371" t="str">
        <f>"23.08.2011"</f>
        <v>23.08.2011</v>
      </c>
      <c r="C2371" t="str">
        <f>"22.08.2011"</f>
        <v>22.08.2011</v>
      </c>
      <c r="D2371" t="str">
        <f>"828,00"</f>
        <v>828,00</v>
      </c>
      <c r="E2371" t="str">
        <f>"828,00"</f>
        <v>828,00</v>
      </c>
    </row>
    <row r="2374" spans="1:5" x14ac:dyDescent="0.25">
      <c r="A2374" t="str">
        <f>"555"</f>
        <v>555</v>
      </c>
      <c r="B2374" t="str">
        <f>"HASBU s.r.o. Č.Bud."</f>
        <v>HASBU s.r.o. Č.Bud.</v>
      </c>
      <c r="C2374" t="str">
        <f>"14500655"</f>
        <v>14500655</v>
      </c>
    </row>
    <row r="2375" spans="1:5" x14ac:dyDescent="0.25">
      <c r="A2375" t="str">
        <f>"10.08.2011"</f>
        <v>10.08.2011</v>
      </c>
      <c r="B2375" t="str">
        <f>"22.08.2011"</f>
        <v>22.08.2011</v>
      </c>
      <c r="C2375" t="str">
        <f>"17.08.2011"</f>
        <v>17.08.2011</v>
      </c>
      <c r="D2375" t="str">
        <f>"6.779,00"</f>
        <v>6.779,00</v>
      </c>
      <c r="E2375" t="str">
        <f>"6.779,00"</f>
        <v>6.779,00</v>
      </c>
    </row>
    <row r="2378" spans="1:5" x14ac:dyDescent="0.25">
      <c r="A2378" t="str">
        <f>"556"</f>
        <v>556</v>
      </c>
      <c r="B2378" t="str">
        <f>"Soreta Group a.s. Tábor"</f>
        <v>Soreta Group a.s. Tábor</v>
      </c>
      <c r="C2378" t="str">
        <f>"26065941"</f>
        <v>26065941</v>
      </c>
    </row>
    <row r="2379" spans="1:5" x14ac:dyDescent="0.25">
      <c r="A2379" t="str">
        <f>"10.08.2011"</f>
        <v>10.08.2011</v>
      </c>
      <c r="B2379" t="str">
        <f>"19.08.2011"</f>
        <v>19.08.2011</v>
      </c>
      <c r="C2379" t="str">
        <f>"17.08.2011"</f>
        <v>17.08.2011</v>
      </c>
      <c r="D2379" t="str">
        <f>"21.456,00"</f>
        <v>21.456,00</v>
      </c>
      <c r="E2379" t="str">
        <f>"21.456,00"</f>
        <v>21.456,00</v>
      </c>
    </row>
    <row r="2382" spans="1:5" x14ac:dyDescent="0.25">
      <c r="A2382" t="str">
        <f>"557"</f>
        <v>557</v>
      </c>
      <c r="B2382" t="str">
        <f>"T.O.D.O.K. s.r.o.Soběslav"</f>
        <v>T.O.D.O.K. s.r.o.Soběslav</v>
      </c>
      <c r="C2382" t="str">
        <f>"48201936"</f>
        <v>48201936</v>
      </c>
    </row>
    <row r="2383" spans="1:5" x14ac:dyDescent="0.25">
      <c r="A2383" t="str">
        <f>"11.08.2011"</f>
        <v>11.08.2011</v>
      </c>
      <c r="B2383" t="str">
        <f>"30.08.2011"</f>
        <v>30.08.2011</v>
      </c>
      <c r="C2383" t="str">
        <f>"26.08.2011"</f>
        <v>26.08.2011</v>
      </c>
      <c r="D2383" t="str">
        <f>"75.000,00"</f>
        <v>75.000,00</v>
      </c>
      <c r="E2383" t="str">
        <f>"75.000,00"</f>
        <v>75.000,00</v>
      </c>
    </row>
    <row r="2386" spans="1:5" x14ac:dyDescent="0.25">
      <c r="A2386" t="str">
        <f>"558"</f>
        <v>558</v>
      </c>
      <c r="B2386" t="str">
        <f>"E.ON  Energie a.s. Č.B."</f>
        <v>E.ON  Energie a.s. Č.B.</v>
      </c>
      <c r="C2386" t="str">
        <f>"26078201"</f>
        <v>26078201</v>
      </c>
    </row>
    <row r="2387" spans="1:5" x14ac:dyDescent="0.25">
      <c r="A2387" t="str">
        <f>"12.08.2011"</f>
        <v>12.08.2011</v>
      </c>
      <c r="B2387" t="str">
        <f>"24.08.2011"</f>
        <v>24.08.2011</v>
      </c>
      <c r="C2387" t="str">
        <f>"23.08.2011"</f>
        <v>23.08.2011</v>
      </c>
      <c r="D2387" t="str">
        <f>"58,00"</f>
        <v>58,00</v>
      </c>
      <c r="E2387" t="str">
        <f>"58,00"</f>
        <v>58,00</v>
      </c>
    </row>
    <row r="2390" spans="1:5" x14ac:dyDescent="0.25">
      <c r="A2390" t="str">
        <f>"559"</f>
        <v>559</v>
      </c>
      <c r="B2390" t="str">
        <f>"Petr Palán Vesce 46"</f>
        <v>Petr Palán Vesce 46</v>
      </c>
      <c r="C2390" t="str">
        <f>"45015171"</f>
        <v>45015171</v>
      </c>
    </row>
    <row r="2391" spans="1:5" x14ac:dyDescent="0.25">
      <c r="A2391" t="str">
        <f>"15.08.2011"</f>
        <v>15.08.2011</v>
      </c>
      <c r="B2391" t="str">
        <f>"21.08.2011"</f>
        <v>21.08.2011</v>
      </c>
      <c r="C2391" t="str">
        <f>"23.08.2011"</f>
        <v>23.08.2011</v>
      </c>
      <c r="D2391" t="str">
        <f>"1.796,00"</f>
        <v>1.796,00</v>
      </c>
      <c r="E2391" t="str">
        <f>"1.796,00"</f>
        <v>1.796,00</v>
      </c>
    </row>
    <row r="2394" spans="1:5" x14ac:dyDescent="0.25">
      <c r="A2394" t="str">
        <f>"560"</f>
        <v>560</v>
      </c>
      <c r="B2394" t="str">
        <f>"Jaroslava Havlová Soběsla"</f>
        <v>Jaroslava Havlová Soběsla</v>
      </c>
      <c r="C2394" t="str">
        <f>"45015520"</f>
        <v>45015520</v>
      </c>
    </row>
    <row r="2395" spans="1:5" x14ac:dyDescent="0.25">
      <c r="A2395" t="str">
        <f>"15.08.2011"</f>
        <v>15.08.2011</v>
      </c>
      <c r="B2395" t="str">
        <f>"23.08.2011"</f>
        <v>23.08.2011</v>
      </c>
      <c r="C2395" t="str">
        <f>"23.08.2011"</f>
        <v>23.08.2011</v>
      </c>
      <c r="D2395" t="str">
        <f>"6.845,00"</f>
        <v>6.845,00</v>
      </c>
      <c r="E2395" t="str">
        <f>"6.845,00"</f>
        <v>6.845,00</v>
      </c>
    </row>
    <row r="2398" spans="1:5" x14ac:dyDescent="0.25">
      <c r="A2398" t="str">
        <f>"561"</f>
        <v>561</v>
      </c>
      <c r="B2398" t="str">
        <f>"TJ SPARTAK Soběslav"</f>
        <v>TJ SPARTAK Soběslav</v>
      </c>
      <c r="C2398" t="str">
        <f>"46632191"</f>
        <v>46632191</v>
      </c>
    </row>
    <row r="2399" spans="1:5" x14ac:dyDescent="0.25">
      <c r="A2399" t="str">
        <f>"16.08.2011"</f>
        <v>16.08.2011</v>
      </c>
      <c r="B2399" t="str">
        <f>"24.08.2011"</f>
        <v>24.08.2011</v>
      </c>
      <c r="C2399" t="str">
        <f>"23.08.2011"</f>
        <v>23.08.2011</v>
      </c>
      <c r="D2399" t="str">
        <f>"1.530,00"</f>
        <v>1.530,00</v>
      </c>
      <c r="E2399" t="str">
        <f>"1.530,00"</f>
        <v>1.530,00</v>
      </c>
    </row>
    <row r="2401" spans="1:5" x14ac:dyDescent="0.25">
      <c r="A2401" t="str">
        <f>"Poř.č.fak."</f>
        <v>Poř.č.fak.</v>
      </c>
      <c r="B2401" t="str">
        <f>"Dodavatel"</f>
        <v>Dodavatel</v>
      </c>
      <c r="C2401" t="str">
        <f>"IČO"</f>
        <v>IČO</v>
      </c>
    </row>
    <row r="2402" spans="1:5" x14ac:dyDescent="0.25">
      <c r="A2402" t="str">
        <f>"Došla"</f>
        <v>Došla</v>
      </c>
      <c r="B2402" t="str">
        <f>"Splatná"</f>
        <v>Splatná</v>
      </c>
      <c r="C2402" t="str">
        <f>"Zaplacená"</f>
        <v>Zaplacená</v>
      </c>
      <c r="D2402" t="str">
        <f>"Fakt.částka"</f>
        <v>Fakt.částka</v>
      </c>
      <c r="E2402" t="str">
        <f>"Celk.zaplaceno"</f>
        <v>Celk.zaplaceno</v>
      </c>
    </row>
    <row r="2403" spans="1:5" x14ac:dyDescent="0.25">
      <c r="B2403" t="str">
        <f>"Poznámka"</f>
        <v>Poznámka</v>
      </c>
    </row>
    <row r="2404" spans="1:5" x14ac:dyDescent="0.25">
      <c r="A2404" t="str">
        <f>"**********"</f>
        <v>**********</v>
      </c>
      <c r="B2404" t="str">
        <f>"**************************"</f>
        <v>**************************</v>
      </c>
      <c r="C2404" t="str">
        <f>"***********"</f>
        <v>***********</v>
      </c>
      <c r="D2404" t="str">
        <f>"***************"</f>
        <v>***************</v>
      </c>
      <c r="E2404" t="str">
        <f>"***************"</f>
        <v>***************</v>
      </c>
    </row>
    <row r="2406" spans="1:5" x14ac:dyDescent="0.25">
      <c r="A2406" t="str">
        <f>"562"</f>
        <v>562</v>
      </c>
      <c r="B2406" t="str">
        <f>"Autoservis Soběslav"</f>
        <v>Autoservis Soběslav</v>
      </c>
      <c r="C2406" t="str">
        <f>"65976711"</f>
        <v>65976711</v>
      </c>
    </row>
    <row r="2407" spans="1:5" x14ac:dyDescent="0.25">
      <c r="A2407" t="str">
        <f>"19.08.2011"</f>
        <v>19.08.2011</v>
      </c>
      <c r="B2407" t="str">
        <f>"18.08.2011"</f>
        <v>18.08.2011</v>
      </c>
      <c r="C2407" t="str">
        <f>"23.08.2011"</f>
        <v>23.08.2011</v>
      </c>
      <c r="D2407" t="str">
        <f>"2.182,80"</f>
        <v>2.182,80</v>
      </c>
      <c r="E2407" t="str">
        <f>"2.182,80"</f>
        <v>2.182,80</v>
      </c>
    </row>
    <row r="2410" spans="1:5" x14ac:dyDescent="0.25">
      <c r="A2410" t="str">
        <f>"563"</f>
        <v>563</v>
      </c>
      <c r="B2410" t="str">
        <f>"STRABAG a.s. Soběslav"</f>
        <v>STRABAG a.s. Soběslav</v>
      </c>
      <c r="C2410" t="str">
        <f>"60838744"</f>
        <v>60838744</v>
      </c>
    </row>
    <row r="2411" spans="1:5" x14ac:dyDescent="0.25">
      <c r="A2411" t="str">
        <f>"12.08.2011"</f>
        <v>12.08.2011</v>
      </c>
      <c r="B2411" t="str">
        <f>"06.10.2011"</f>
        <v>06.10.2011</v>
      </c>
      <c r="C2411" t="str">
        <f>"03.10.2011"</f>
        <v>03.10.2011</v>
      </c>
      <c r="D2411" t="str">
        <f>"691.355,30"</f>
        <v>691.355,30</v>
      </c>
      <c r="E2411" t="str">
        <f>"691.355,30"</f>
        <v>691.355,30</v>
      </c>
    </row>
    <row r="2414" spans="1:5" x14ac:dyDescent="0.25">
      <c r="A2414" t="str">
        <f>"564"</f>
        <v>564</v>
      </c>
      <c r="B2414" t="str">
        <f>"STRABAG a.s. Soběslav"</f>
        <v>STRABAG a.s. Soběslav</v>
      </c>
      <c r="C2414" t="str">
        <f>"60838744"</f>
        <v>60838744</v>
      </c>
    </row>
    <row r="2415" spans="1:5" x14ac:dyDescent="0.25">
      <c r="A2415" t="str">
        <f>"12.08.2011"</f>
        <v>12.08.2011</v>
      </c>
      <c r="B2415" t="str">
        <f>"10.10.2011"</f>
        <v>10.10.2011</v>
      </c>
      <c r="C2415" t="str">
        <f>"25.08.2011"</f>
        <v>25.08.2011</v>
      </c>
      <c r="D2415" t="str">
        <f>"328.094,40"</f>
        <v>328.094,40</v>
      </c>
      <c r="E2415" t="str">
        <f>"328.094,40"</f>
        <v>328.094,40</v>
      </c>
    </row>
    <row r="2418" spans="1:5" x14ac:dyDescent="0.25">
      <c r="A2418" t="str">
        <f>"565"</f>
        <v>565</v>
      </c>
      <c r="B2418" t="str">
        <f>"Quo-ST s.r.o. Tábor"</f>
        <v>Quo-ST s.r.o. Tábor</v>
      </c>
      <c r="C2418" t="str">
        <f>"60617233"</f>
        <v>60617233</v>
      </c>
    </row>
    <row r="2419" spans="1:5" x14ac:dyDescent="0.25">
      <c r="A2419" t="str">
        <f>"17.08.2011"</f>
        <v>17.08.2011</v>
      </c>
      <c r="B2419" t="str">
        <f>"29.08.2011"</f>
        <v>29.08.2011</v>
      </c>
      <c r="C2419" t="str">
        <f>"26.08.2011"</f>
        <v>26.08.2011</v>
      </c>
      <c r="D2419" t="str">
        <f>"3.435,00"</f>
        <v>3.435,00</v>
      </c>
      <c r="E2419" t="str">
        <f>"3.435,00"</f>
        <v>3.435,00</v>
      </c>
    </row>
    <row r="2422" spans="1:5" x14ac:dyDescent="0.25">
      <c r="A2422" t="str">
        <f>"566"</f>
        <v>566</v>
      </c>
      <c r="B2422" t="str">
        <f>"GK ing. Dvořáček Tábor"</f>
        <v>GK ing. Dvořáček Tábor</v>
      </c>
      <c r="C2422" t="str">
        <f>"65945735"</f>
        <v>65945735</v>
      </c>
    </row>
    <row r="2423" spans="1:5" x14ac:dyDescent="0.25">
      <c r="A2423" t="str">
        <f>"19.08.2011"</f>
        <v>19.08.2011</v>
      </c>
      <c r="B2423" t="str">
        <f>"31.08.2011"</f>
        <v>31.08.2011</v>
      </c>
      <c r="C2423" t="str">
        <f>"30.08.2011"</f>
        <v>30.08.2011</v>
      </c>
      <c r="D2423" t="str">
        <f>"25.200,00"</f>
        <v>25.200,00</v>
      </c>
      <c r="E2423" t="str">
        <f>"25.200,00"</f>
        <v>25.200,00</v>
      </c>
    </row>
    <row r="2426" spans="1:5" x14ac:dyDescent="0.25">
      <c r="A2426" t="str">
        <f>"567"</f>
        <v>567</v>
      </c>
      <c r="B2426" t="str">
        <f>"MEDIATEL s.r.o. Praha 8"</f>
        <v>MEDIATEL s.r.o. Praha 8</v>
      </c>
      <c r="C2426" t="str">
        <f>"26757052"</f>
        <v>26757052</v>
      </c>
    </row>
    <row r="2427" spans="1:5" x14ac:dyDescent="0.25">
      <c r="A2427" t="str">
        <f>"22.08.2011"</f>
        <v>22.08.2011</v>
      </c>
      <c r="B2427" t="str">
        <f>"03.09.2011"</f>
        <v>03.09.2011</v>
      </c>
      <c r="C2427" t="str">
        <f>"01.09.2011"</f>
        <v>01.09.2011</v>
      </c>
      <c r="D2427" t="str">
        <f>"2.988,00"</f>
        <v>2.988,00</v>
      </c>
      <c r="E2427" t="str">
        <f>"2.988,00"</f>
        <v>2.988,00</v>
      </c>
    </row>
    <row r="2430" spans="1:5" x14ac:dyDescent="0.25">
      <c r="A2430" t="str">
        <f>"568"</f>
        <v>568</v>
      </c>
      <c r="B2430" t="str">
        <f>"RUMPOLD s.r.o. Tábor"</f>
        <v>RUMPOLD s.r.o. Tábor</v>
      </c>
      <c r="C2430" t="str">
        <f>"61459364"</f>
        <v>61459364</v>
      </c>
    </row>
    <row r="2431" spans="1:5" x14ac:dyDescent="0.25">
      <c r="A2431" t="str">
        <f>"22.08.2011"</f>
        <v>22.08.2011</v>
      </c>
      <c r="B2431" t="str">
        <f>"30.08.2011"</f>
        <v>30.08.2011</v>
      </c>
      <c r="C2431" t="str">
        <f>"26.08.2011"</f>
        <v>26.08.2011</v>
      </c>
      <c r="D2431" t="str">
        <f>"28.631,00"</f>
        <v>28.631,00</v>
      </c>
      <c r="E2431" t="str">
        <f>"28.631,00"</f>
        <v>28.631,00</v>
      </c>
    </row>
    <row r="2434" spans="1:5" x14ac:dyDescent="0.25">
      <c r="A2434" t="str">
        <f>"569"</f>
        <v>569</v>
      </c>
      <c r="B2434" t="str">
        <f>"TIP N+V, Soběslav"</f>
        <v>TIP N+V, Soběslav</v>
      </c>
      <c r="C2434" t="str">
        <f>"18321119"</f>
        <v>18321119</v>
      </c>
    </row>
    <row r="2435" spans="1:5" x14ac:dyDescent="0.25">
      <c r="A2435" t="str">
        <f>"22.08.2011"</f>
        <v>22.08.2011</v>
      </c>
      <c r="B2435" t="str">
        <f>"09.09.2011"</f>
        <v>09.09.2011</v>
      </c>
      <c r="C2435" t="str">
        <f>"06.09.2011"</f>
        <v>06.09.2011</v>
      </c>
      <c r="D2435" t="str">
        <f>"466.990,00"</f>
        <v>466.990,00</v>
      </c>
      <c r="E2435" t="str">
        <f>"466.990,00"</f>
        <v>466.990,00</v>
      </c>
    </row>
    <row r="2438" spans="1:5" x14ac:dyDescent="0.25">
      <c r="A2438" t="str">
        <f>"570"</f>
        <v>570</v>
      </c>
      <c r="B2438" t="str">
        <f>"DBD CONTROL SYSTEMS,"</f>
        <v>DBD CONTROL SYSTEMS,</v>
      </c>
      <c r="C2438" t="str">
        <f>"42407982"</f>
        <v>42407982</v>
      </c>
    </row>
    <row r="2439" spans="1:5" x14ac:dyDescent="0.25">
      <c r="A2439" t="str">
        <f>"22.08.2011"</f>
        <v>22.08.2011</v>
      </c>
      <c r="B2439" t="str">
        <f>"05.09.2011"</f>
        <v>05.09.2011</v>
      </c>
      <c r="C2439" t="str">
        <f>"01.09.2011"</f>
        <v>01.09.2011</v>
      </c>
      <c r="D2439" t="str">
        <f>"1.894.303,20"</f>
        <v>1.894.303,20</v>
      </c>
      <c r="E2439" t="str">
        <f>"1.894.303,20"</f>
        <v>1.894.303,20</v>
      </c>
    </row>
    <row r="2442" spans="1:5" x14ac:dyDescent="0.25">
      <c r="A2442" t="str">
        <f>"571"</f>
        <v>571</v>
      </c>
      <c r="B2442" t="str">
        <f>"Správa města Soběslavi"</f>
        <v>Správa města Soběslavi</v>
      </c>
      <c r="C2442" t="str">
        <f>"26029987"</f>
        <v>26029987</v>
      </c>
    </row>
    <row r="2443" spans="1:5" x14ac:dyDescent="0.25">
      <c r="A2443" t="str">
        <f>"24.08.2011"</f>
        <v>24.08.2011</v>
      </c>
      <c r="B2443" t="str">
        <f>"06.09.2011"</f>
        <v>06.09.2011</v>
      </c>
      <c r="C2443" t="str">
        <f>"01.09.2011"</f>
        <v>01.09.2011</v>
      </c>
      <c r="D2443" t="str">
        <f>"5.376,00"</f>
        <v>5.376,00</v>
      </c>
      <c r="E2443" t="str">
        <f>"5.376,00"</f>
        <v>5.376,00</v>
      </c>
    </row>
    <row r="2446" spans="1:5" x14ac:dyDescent="0.25">
      <c r="A2446" t="str">
        <f>"572"</f>
        <v>572</v>
      </c>
      <c r="B2446" t="str">
        <f>"Správa města Soběslavi"</f>
        <v>Správa města Soběslavi</v>
      </c>
      <c r="C2446" t="str">
        <f>"26029987"</f>
        <v>26029987</v>
      </c>
    </row>
    <row r="2447" spans="1:5" x14ac:dyDescent="0.25">
      <c r="A2447" t="str">
        <f>"24.08.2011"</f>
        <v>24.08.2011</v>
      </c>
      <c r="B2447" t="str">
        <f>"06.09.2011"</f>
        <v>06.09.2011</v>
      </c>
      <c r="C2447" t="str">
        <f>"01.09.2011"</f>
        <v>01.09.2011</v>
      </c>
      <c r="D2447" t="str">
        <f>"29.407,00"</f>
        <v>29.407,00</v>
      </c>
      <c r="E2447" t="str">
        <f>"29.407,00"</f>
        <v>29.407,00</v>
      </c>
    </row>
    <row r="2450" spans="1:5" x14ac:dyDescent="0.25">
      <c r="A2450" t="str">
        <f>"573"</f>
        <v>573</v>
      </c>
      <c r="B2450" t="str">
        <f>"Novotný Marek Veselí n/L."</f>
        <v>Novotný Marek Veselí n/L.</v>
      </c>
      <c r="C2450" t="str">
        <f>"67192645"</f>
        <v>67192645</v>
      </c>
    </row>
    <row r="2451" spans="1:5" x14ac:dyDescent="0.25">
      <c r="A2451" t="str">
        <f>"29.08.2011"</f>
        <v>29.08.2011</v>
      </c>
      <c r="B2451" t="str">
        <f>"02.09.2011"</f>
        <v>02.09.2011</v>
      </c>
      <c r="C2451" t="str">
        <f>"01.09.2011"</f>
        <v>01.09.2011</v>
      </c>
      <c r="D2451" t="str">
        <f>"1.000,00"</f>
        <v>1.000,00</v>
      </c>
      <c r="E2451" t="str">
        <f>"1.000,00"</f>
        <v>1.000,00</v>
      </c>
    </row>
    <row r="2454" spans="1:5" x14ac:dyDescent="0.25">
      <c r="A2454" t="str">
        <f>"574"</f>
        <v>574</v>
      </c>
      <c r="B2454" t="str">
        <f>"Votruba Michal Myslkovice"</f>
        <v>Votruba Michal Myslkovice</v>
      </c>
      <c r="C2454" t="str">
        <f>"87908522"</f>
        <v>87908522</v>
      </c>
    </row>
    <row r="2455" spans="1:5" x14ac:dyDescent="0.25">
      <c r="A2455" t="str">
        <f>"30.08.2011"</f>
        <v>30.08.2011</v>
      </c>
      <c r="B2455" t="str">
        <f>"12.09.2011"</f>
        <v>12.09.2011</v>
      </c>
      <c r="C2455" t="str">
        <f>"08.09.2011"</f>
        <v>08.09.2011</v>
      </c>
      <c r="D2455" t="str">
        <f>"30.000,00"</f>
        <v>30.000,00</v>
      </c>
      <c r="E2455" t="str">
        <f>"30.000,00"</f>
        <v>30.000,00</v>
      </c>
    </row>
    <row r="2458" spans="1:5" x14ac:dyDescent="0.25">
      <c r="A2458" t="str">
        <f>"575"</f>
        <v>575</v>
      </c>
      <c r="B2458" t="str">
        <f>"Acha obec účtuje s.r.o."</f>
        <v>Acha obec účtuje s.r.o.</v>
      </c>
      <c r="C2458" t="str">
        <f>"27493091"</f>
        <v>27493091</v>
      </c>
    </row>
    <row r="2459" spans="1:5" x14ac:dyDescent="0.25">
      <c r="A2459" t="str">
        <f>"31.08.2011"</f>
        <v>31.08.2011</v>
      </c>
      <c r="B2459" t="str">
        <f>"14.09.2011"</f>
        <v>14.09.2011</v>
      </c>
      <c r="C2459" t="str">
        <f>"06.09.2011"</f>
        <v>06.09.2011</v>
      </c>
      <c r="D2459" t="str">
        <f>"1.200,00"</f>
        <v>1.200,00</v>
      </c>
      <c r="E2459" t="str">
        <f>"1.200,00"</f>
        <v>1.200,00</v>
      </c>
    </row>
    <row r="2461" spans="1:5" x14ac:dyDescent="0.25">
      <c r="A2461" t="str">
        <f>"Poř.č.fak."</f>
        <v>Poř.č.fak.</v>
      </c>
      <c r="B2461" t="str">
        <f>"Dodavatel"</f>
        <v>Dodavatel</v>
      </c>
      <c r="C2461" t="str">
        <f>"IČO"</f>
        <v>IČO</v>
      </c>
    </row>
    <row r="2462" spans="1:5" x14ac:dyDescent="0.25">
      <c r="A2462" t="str">
        <f>"Došla"</f>
        <v>Došla</v>
      </c>
      <c r="B2462" t="str">
        <f>"Splatná"</f>
        <v>Splatná</v>
      </c>
      <c r="C2462" t="str">
        <f>"Zaplacená"</f>
        <v>Zaplacená</v>
      </c>
      <c r="D2462" t="str">
        <f>"Fakt.částka"</f>
        <v>Fakt.částka</v>
      </c>
      <c r="E2462" t="str">
        <f>"Celk.zaplaceno"</f>
        <v>Celk.zaplaceno</v>
      </c>
    </row>
    <row r="2463" spans="1:5" x14ac:dyDescent="0.25">
      <c r="B2463" t="str">
        <f>"Poznámka"</f>
        <v>Poznámka</v>
      </c>
    </row>
    <row r="2464" spans="1:5" x14ac:dyDescent="0.25">
      <c r="A2464" t="str">
        <f>"**********"</f>
        <v>**********</v>
      </c>
      <c r="B2464" t="str">
        <f>"**************************"</f>
        <v>**************************</v>
      </c>
      <c r="C2464" t="str">
        <f>"***********"</f>
        <v>***********</v>
      </c>
      <c r="D2464" t="str">
        <f>"***************"</f>
        <v>***************</v>
      </c>
      <c r="E2464" t="str">
        <f>"***************"</f>
        <v>***************</v>
      </c>
    </row>
    <row r="2466" spans="1:5" x14ac:dyDescent="0.25">
      <c r="A2466" t="str">
        <f>"576"</f>
        <v>576</v>
      </c>
      <c r="B2466" t="str">
        <f>"KONICA MINOLTA s.r.o."</f>
        <v>KONICA MINOLTA s.r.o.</v>
      </c>
      <c r="C2466" t="str">
        <f>"00176150"</f>
        <v>00176150</v>
      </c>
    </row>
    <row r="2467" spans="1:5" x14ac:dyDescent="0.25">
      <c r="A2467" t="str">
        <f>"31.08.2011"</f>
        <v>31.08.2011</v>
      </c>
      <c r="B2467" t="str">
        <f>"06.09.2011"</f>
        <v>06.09.2011</v>
      </c>
      <c r="C2467" t="str">
        <f>"06.09.2011"</f>
        <v>06.09.2011</v>
      </c>
      <c r="D2467" t="str">
        <f>"3.552,00"</f>
        <v>3.552,00</v>
      </c>
      <c r="E2467" t="str">
        <f>"3.552,00"</f>
        <v>3.552,00</v>
      </c>
    </row>
    <row r="2470" spans="1:5" x14ac:dyDescent="0.25">
      <c r="A2470" t="str">
        <f>"577"</f>
        <v>577</v>
      </c>
      <c r="B2470" t="str">
        <f>"Java Třeboň"</f>
        <v>Java Třeboň</v>
      </c>
      <c r="C2470" t="str">
        <f>"15792994"</f>
        <v>15792994</v>
      </c>
    </row>
    <row r="2471" spans="1:5" x14ac:dyDescent="0.25">
      <c r="A2471" t="str">
        <f>"02.09.2011"</f>
        <v>02.09.2011</v>
      </c>
      <c r="B2471" t="str">
        <f>"09.09.2011"</f>
        <v>09.09.2011</v>
      </c>
      <c r="C2471" t="str">
        <f>"08.09.2011"</f>
        <v>08.09.2011</v>
      </c>
      <c r="D2471" t="str">
        <f>"31.988,00"</f>
        <v>31.988,00</v>
      </c>
      <c r="E2471" t="str">
        <f>"31.988,00"</f>
        <v>31.988,00</v>
      </c>
    </row>
    <row r="2474" spans="1:5" x14ac:dyDescent="0.25">
      <c r="A2474" t="str">
        <f>"578"</f>
        <v>578</v>
      </c>
      <c r="B2474" t="str">
        <f>"INO s.r.o. Děčín"</f>
        <v>INO s.r.o. Děčín</v>
      </c>
      <c r="C2474" t="str">
        <f>"27263517"</f>
        <v>27263517</v>
      </c>
    </row>
    <row r="2475" spans="1:5" x14ac:dyDescent="0.25">
      <c r="A2475" t="str">
        <f>"01.09.2011"</f>
        <v>01.09.2011</v>
      </c>
      <c r="B2475" t="str">
        <f>"21.09.2011"</f>
        <v>21.09.2011</v>
      </c>
      <c r="C2475" t="str">
        <f>"20.09.2011"</f>
        <v>20.09.2011</v>
      </c>
      <c r="D2475" t="str">
        <f>"2.289,00"</f>
        <v>2.289,00</v>
      </c>
      <c r="E2475" t="str">
        <f>"2.289,00"</f>
        <v>2.289,00</v>
      </c>
    </row>
    <row r="2478" spans="1:5" x14ac:dyDescent="0.25">
      <c r="A2478" t="str">
        <f>"579"</f>
        <v>579</v>
      </c>
      <c r="B2478" t="str">
        <f>"INO s.r.o. Děčín"</f>
        <v>INO s.r.o. Děčín</v>
      </c>
      <c r="C2478" t="str">
        <f>"27263517"</f>
        <v>27263517</v>
      </c>
    </row>
    <row r="2479" spans="1:5" x14ac:dyDescent="0.25">
      <c r="A2479" t="str">
        <f>"05.09.2011"</f>
        <v>05.09.2011</v>
      </c>
      <c r="B2479" t="str">
        <f>"23.09.2011"</f>
        <v>23.09.2011</v>
      </c>
      <c r="C2479" t="str">
        <f>"21.09.2011"</f>
        <v>21.09.2011</v>
      </c>
      <c r="D2479" t="str">
        <f>"1.299,00"</f>
        <v>1.299,00</v>
      </c>
      <c r="E2479" t="str">
        <f>"1.299,00"</f>
        <v>1.299,00</v>
      </c>
    </row>
    <row r="2482" spans="1:5" x14ac:dyDescent="0.25">
      <c r="A2482" t="str">
        <f>"580"</f>
        <v>580</v>
      </c>
      <c r="B2482" t="str">
        <f>"BANNER s.r.o. Sez. Ústí"</f>
        <v>BANNER s.r.o. Sez. Ústí</v>
      </c>
      <c r="C2482" t="str">
        <f>"46682821"</f>
        <v>46682821</v>
      </c>
    </row>
    <row r="2483" spans="1:5" x14ac:dyDescent="0.25">
      <c r="A2483" t="str">
        <f>"05.09.2011"</f>
        <v>05.09.2011</v>
      </c>
      <c r="B2483" t="str">
        <f>"16.09.2011"</f>
        <v>16.09.2011</v>
      </c>
      <c r="C2483" t="str">
        <f>"14.09.2011"</f>
        <v>14.09.2011</v>
      </c>
      <c r="D2483" t="str">
        <f>"5.425,00"</f>
        <v>5.425,00</v>
      </c>
      <c r="E2483" t="str">
        <f>"5.425,00"</f>
        <v>5.425,00</v>
      </c>
    </row>
    <row r="2486" spans="1:5" x14ac:dyDescent="0.25">
      <c r="A2486" t="str">
        <f>"581"</f>
        <v>581</v>
      </c>
      <c r="B2486" t="str">
        <f>"Ing. Jiří Lagner  Soběsla"</f>
        <v>Ing. Jiří Lagner  Soběsla</v>
      </c>
      <c r="C2486" t="str">
        <f>"10326227"</f>
        <v>10326227</v>
      </c>
    </row>
    <row r="2487" spans="1:5" x14ac:dyDescent="0.25">
      <c r="A2487" t="str">
        <f>"06.09.2011"</f>
        <v>06.09.2011</v>
      </c>
      <c r="B2487" t="str">
        <f>"07.09.2011"</f>
        <v>07.09.2011</v>
      </c>
      <c r="C2487" t="str">
        <f>"12.09.2011"</f>
        <v>12.09.2011</v>
      </c>
      <c r="D2487" t="str">
        <f>"13.500,00"</f>
        <v>13.500,00</v>
      </c>
      <c r="E2487" t="str">
        <f>"13.500,00"</f>
        <v>13.500,00</v>
      </c>
    </row>
    <row r="2490" spans="1:5" x14ac:dyDescent="0.25">
      <c r="A2490" t="str">
        <f>"582"</f>
        <v>582</v>
      </c>
      <c r="B2490" t="str">
        <f>"KONICA MINOLTA s.r.o."</f>
        <v>KONICA MINOLTA s.r.o.</v>
      </c>
      <c r="C2490" t="str">
        <f>"00176150"</f>
        <v>00176150</v>
      </c>
    </row>
    <row r="2491" spans="1:5" x14ac:dyDescent="0.25">
      <c r="A2491" t="str">
        <f>"06.09.2011"</f>
        <v>06.09.2011</v>
      </c>
      <c r="B2491" t="str">
        <f>"09.09.2011"</f>
        <v>09.09.2011</v>
      </c>
      <c r="C2491" t="str">
        <f>"12.09.2011"</f>
        <v>12.09.2011</v>
      </c>
      <c r="D2491" t="str">
        <f>"3.828,40"</f>
        <v>3.828,40</v>
      </c>
      <c r="E2491" t="str">
        <f>"3.828,40"</f>
        <v>3.828,40</v>
      </c>
    </row>
    <row r="2494" spans="1:5" x14ac:dyDescent="0.25">
      <c r="A2494" t="str">
        <f>"583"</f>
        <v>583</v>
      </c>
      <c r="B2494" t="str">
        <f>"Radek Bouška Vrážná"</f>
        <v>Radek Bouška Vrážná</v>
      </c>
      <c r="C2494" t="str">
        <f>"67157645"</f>
        <v>67157645</v>
      </c>
    </row>
    <row r="2495" spans="1:5" x14ac:dyDescent="0.25">
      <c r="A2495" t="str">
        <f>"06.09.2011"</f>
        <v>06.09.2011</v>
      </c>
      <c r="B2495" t="str">
        <f>"10.09.2011"</f>
        <v>10.09.2011</v>
      </c>
      <c r="C2495" t="str">
        <f>"12.09.2011"</f>
        <v>12.09.2011</v>
      </c>
      <c r="D2495" t="str">
        <f>"19.774,00"</f>
        <v>19.774,00</v>
      </c>
      <c r="E2495" t="str">
        <f>"19.774,00"</f>
        <v>19.774,00</v>
      </c>
    </row>
    <row r="2498" spans="1:5" x14ac:dyDescent="0.25">
      <c r="A2498" t="str">
        <f>"584"</f>
        <v>584</v>
      </c>
      <c r="B2498" t="str">
        <f>"Radek Bouška Vrážná"</f>
        <v>Radek Bouška Vrážná</v>
      </c>
      <c r="C2498" t="str">
        <f>"67157645"</f>
        <v>67157645</v>
      </c>
    </row>
    <row r="2499" spans="1:5" x14ac:dyDescent="0.25">
      <c r="A2499" t="str">
        <f>"06.09.2011"</f>
        <v>06.09.2011</v>
      </c>
      <c r="B2499" t="str">
        <f>"10.09.2011"</f>
        <v>10.09.2011</v>
      </c>
      <c r="C2499" t="str">
        <f>"12.09.2011"</f>
        <v>12.09.2011</v>
      </c>
      <c r="D2499" t="str">
        <f>"332.878,00"</f>
        <v>332.878,00</v>
      </c>
      <c r="E2499" t="str">
        <f>"332.878,00"</f>
        <v>332.878,00</v>
      </c>
    </row>
    <row r="2502" spans="1:5" x14ac:dyDescent="0.25">
      <c r="A2502" t="str">
        <f>"585"</f>
        <v>585</v>
      </c>
      <c r="B2502" t="str">
        <f>"OPTYS  s.r.o. Opava"</f>
        <v>OPTYS  s.r.o. Opava</v>
      </c>
      <c r="C2502" t="str">
        <f>"42869048"</f>
        <v>42869048</v>
      </c>
    </row>
    <row r="2503" spans="1:5" x14ac:dyDescent="0.25">
      <c r="A2503" t="str">
        <f>"06.09.2011"</f>
        <v>06.09.2011</v>
      </c>
      <c r="B2503" t="str">
        <f>"19.09.2011"</f>
        <v>19.09.2011</v>
      </c>
      <c r="C2503" t="str">
        <f>"14.09.2011"</f>
        <v>14.09.2011</v>
      </c>
      <c r="D2503" t="str">
        <f>"600,00"</f>
        <v>600,00</v>
      </c>
      <c r="E2503" t="str">
        <f>"600,00"</f>
        <v>600,00</v>
      </c>
    </row>
    <row r="2506" spans="1:5" x14ac:dyDescent="0.25">
      <c r="A2506" t="str">
        <f>"586"</f>
        <v>586</v>
      </c>
      <c r="B2506" t="str">
        <f>"Ing.Libor Kníže Malšice"</f>
        <v>Ing.Libor Kníže Malšice</v>
      </c>
      <c r="C2506" t="str">
        <f>"74585029"</f>
        <v>74585029</v>
      </c>
    </row>
    <row r="2507" spans="1:5" x14ac:dyDescent="0.25">
      <c r="A2507" t="str">
        <f>"06.09.2011"</f>
        <v>06.09.2011</v>
      </c>
      <c r="B2507" t="str">
        <f>"19.09.2011"</f>
        <v>19.09.2011</v>
      </c>
      <c r="C2507" t="str">
        <f>"14.09.2011"</f>
        <v>14.09.2011</v>
      </c>
      <c r="D2507" t="str">
        <f>"15.600,00"</f>
        <v>15.600,00</v>
      </c>
      <c r="E2507" t="str">
        <f>"15.600,00"</f>
        <v>15.600,00</v>
      </c>
    </row>
    <row r="2510" spans="1:5" x14ac:dyDescent="0.25">
      <c r="A2510" t="str">
        <f>"587"</f>
        <v>587</v>
      </c>
      <c r="B2510" t="str">
        <f>"BENZINA ,s.r.o. Praha 4"</f>
        <v>BENZINA ,s.r.o. Praha 4</v>
      </c>
      <c r="C2510" t="str">
        <f>"60193328"</f>
        <v>60193328</v>
      </c>
    </row>
    <row r="2511" spans="1:5" x14ac:dyDescent="0.25">
      <c r="A2511" t="str">
        <f>"07.09.2011"</f>
        <v>07.09.2011</v>
      </c>
      <c r="B2511" t="str">
        <f>"07.09.2011"</f>
        <v>07.09.2011</v>
      </c>
      <c r="C2511" t="str">
        <f>"07.09.2011"</f>
        <v>07.09.2011</v>
      </c>
      <c r="D2511" t="str">
        <f>"14.725,80"</f>
        <v>14.725,80</v>
      </c>
      <c r="E2511" t="str">
        <f>"14.725,80"</f>
        <v>14.725,80</v>
      </c>
    </row>
    <row r="2514" spans="1:5" x14ac:dyDescent="0.25">
      <c r="A2514" t="str">
        <f>"588"</f>
        <v>588</v>
      </c>
      <c r="B2514" t="str">
        <f>"Telefónica 02 CR, a.s."</f>
        <v>Telefónica 02 CR, a.s.</v>
      </c>
      <c r="C2514" t="str">
        <f>"60193336"</f>
        <v>60193336</v>
      </c>
    </row>
    <row r="2515" spans="1:5" x14ac:dyDescent="0.25">
      <c r="A2515" t="str">
        <f>"07.09.2011"</f>
        <v>07.09.2011</v>
      </c>
      <c r="B2515" t="str">
        <f>"19.09.2011"</f>
        <v>19.09.2011</v>
      </c>
      <c r="C2515" t="str">
        <f>"19.09.2011"</f>
        <v>19.09.2011</v>
      </c>
      <c r="D2515" t="str">
        <f>"46,31"</f>
        <v>46,31</v>
      </c>
      <c r="E2515" t="str">
        <f>"46,31"</f>
        <v>46,31</v>
      </c>
    </row>
    <row r="2518" spans="1:5" x14ac:dyDescent="0.25">
      <c r="A2518" t="str">
        <f>"589"</f>
        <v>589</v>
      </c>
      <c r="B2518" t="str">
        <f>"Česká pošta ,s.p. Praha 1"</f>
        <v>Česká pošta ,s.p. Praha 1</v>
      </c>
      <c r="C2518" t="str">
        <f>"47114983"</f>
        <v>47114983</v>
      </c>
    </row>
    <row r="2519" spans="1:5" x14ac:dyDescent="0.25">
      <c r="A2519" t="str">
        <f>"07.09.2011"</f>
        <v>07.09.2011</v>
      </c>
      <c r="B2519" t="str">
        <f>"19.09.2011"</f>
        <v>19.09.2011</v>
      </c>
      <c r="C2519" t="str">
        <f>"19.09.2011"</f>
        <v>19.09.2011</v>
      </c>
      <c r="D2519" t="str">
        <f>"462,00"</f>
        <v>462,00</v>
      </c>
      <c r="E2519" t="str">
        <f>"462,00"</f>
        <v>462,00</v>
      </c>
    </row>
    <row r="2521" spans="1:5" x14ac:dyDescent="0.25">
      <c r="A2521" t="str">
        <f>"Poř.č.fak."</f>
        <v>Poř.č.fak.</v>
      </c>
      <c r="B2521" t="str">
        <f>"Dodavatel"</f>
        <v>Dodavatel</v>
      </c>
      <c r="C2521" t="str">
        <f>"IČO"</f>
        <v>IČO</v>
      </c>
    </row>
    <row r="2522" spans="1:5" x14ac:dyDescent="0.25">
      <c r="A2522" t="str">
        <f>"Došla"</f>
        <v>Došla</v>
      </c>
      <c r="B2522" t="str">
        <f>"Splatná"</f>
        <v>Splatná</v>
      </c>
      <c r="C2522" t="str">
        <f>"Zaplacená"</f>
        <v>Zaplacená</v>
      </c>
      <c r="D2522" t="str">
        <f>"Fakt.částka"</f>
        <v>Fakt.částka</v>
      </c>
      <c r="E2522" t="str">
        <f>"Celk.zaplaceno"</f>
        <v>Celk.zaplaceno</v>
      </c>
    </row>
    <row r="2523" spans="1:5" x14ac:dyDescent="0.25">
      <c r="B2523" t="str">
        <f>"Poznámka"</f>
        <v>Poznámka</v>
      </c>
    </row>
    <row r="2524" spans="1:5" x14ac:dyDescent="0.25">
      <c r="A2524" t="str">
        <f>"**********"</f>
        <v>**********</v>
      </c>
      <c r="B2524" t="str">
        <f>"**************************"</f>
        <v>**************************</v>
      </c>
      <c r="C2524" t="str">
        <f>"***********"</f>
        <v>***********</v>
      </c>
      <c r="D2524" t="str">
        <f>"***************"</f>
        <v>***************</v>
      </c>
      <c r="E2524" t="str">
        <f>"***************"</f>
        <v>***************</v>
      </c>
    </row>
    <row r="2526" spans="1:5" x14ac:dyDescent="0.25">
      <c r="A2526" t="str">
        <f>"590"</f>
        <v>590</v>
      </c>
      <c r="B2526" t="str">
        <f>"GEOVAP s.r.o. Pardubice"</f>
        <v>GEOVAP s.r.o. Pardubice</v>
      </c>
      <c r="C2526" t="str">
        <f>"15049248"</f>
        <v>15049248</v>
      </c>
    </row>
    <row r="2527" spans="1:5" x14ac:dyDescent="0.25">
      <c r="A2527" t="str">
        <f>"07.09.2011"</f>
        <v>07.09.2011</v>
      </c>
      <c r="B2527" t="str">
        <f>"19.09.2011"</f>
        <v>19.09.2011</v>
      </c>
      <c r="C2527" t="str">
        <f>"19.09.2011"</f>
        <v>19.09.2011</v>
      </c>
      <c r="D2527" t="str">
        <f>"2.000,00"</f>
        <v>2.000,00</v>
      </c>
      <c r="E2527" t="str">
        <f>"2.000,00"</f>
        <v>2.000,00</v>
      </c>
    </row>
    <row r="2530" spans="1:5" x14ac:dyDescent="0.25">
      <c r="A2530" t="str">
        <f>"591"</f>
        <v>591</v>
      </c>
      <c r="B2530" t="str">
        <f>"GEOVAP s.r.o. Pardubice"</f>
        <v>GEOVAP s.r.o. Pardubice</v>
      </c>
      <c r="C2530" t="str">
        <f>"15049248"</f>
        <v>15049248</v>
      </c>
    </row>
    <row r="2531" spans="1:5" x14ac:dyDescent="0.25">
      <c r="A2531" t="str">
        <f>"07.09.2011"</f>
        <v>07.09.2011</v>
      </c>
      <c r="B2531" t="str">
        <f>"19.09.2011"</f>
        <v>19.09.2011</v>
      </c>
      <c r="C2531" t="str">
        <f>"19.09.2011"</f>
        <v>19.09.2011</v>
      </c>
      <c r="D2531" t="str">
        <f>"5.010,00"</f>
        <v>5.010,00</v>
      </c>
      <c r="E2531" t="str">
        <f>"5.010,00"</f>
        <v>5.010,00</v>
      </c>
    </row>
    <row r="2534" spans="1:5" x14ac:dyDescent="0.25">
      <c r="A2534" t="str">
        <f>"592"</f>
        <v>592</v>
      </c>
      <c r="B2534" t="str">
        <f>"Česká pošta ,s.p. Praha 1"</f>
        <v>Česká pošta ,s.p. Praha 1</v>
      </c>
      <c r="C2534" t="str">
        <f>"47114983"</f>
        <v>47114983</v>
      </c>
    </row>
    <row r="2535" spans="1:5" x14ac:dyDescent="0.25">
      <c r="A2535" t="str">
        <f>"07.09.2011"</f>
        <v>07.09.2011</v>
      </c>
      <c r="B2535" t="str">
        <f>"19.09.2011"</f>
        <v>19.09.2011</v>
      </c>
      <c r="C2535" t="str">
        <f>"19.09.2011"</f>
        <v>19.09.2011</v>
      </c>
      <c r="D2535" t="str">
        <f>"38.373,00"</f>
        <v>38.373,00</v>
      </c>
      <c r="E2535" t="str">
        <f>"38.373,00"</f>
        <v>38.373,00</v>
      </c>
    </row>
    <row r="2538" spans="1:5" x14ac:dyDescent="0.25">
      <c r="A2538" t="str">
        <f>"593"</f>
        <v>593</v>
      </c>
      <c r="B2538" t="str">
        <f>"Jihočeská rozvojová o.p.s"</f>
        <v>Jihočeská rozvojová o.p.s</v>
      </c>
      <c r="C2538" t="str">
        <f>"26077540"</f>
        <v>26077540</v>
      </c>
    </row>
    <row r="2539" spans="1:5" x14ac:dyDescent="0.25">
      <c r="A2539" t="str">
        <f>"08.09.2011"</f>
        <v>08.09.2011</v>
      </c>
      <c r="B2539" t="str">
        <f>"13.09.2011"</f>
        <v>13.09.2011</v>
      </c>
      <c r="C2539" t="str">
        <f>"12.09.2011"</f>
        <v>12.09.2011</v>
      </c>
      <c r="D2539" t="str">
        <f>"1.000,00"</f>
        <v>1.000,00</v>
      </c>
      <c r="E2539" t="str">
        <f>"1.000,00"</f>
        <v>1.000,00</v>
      </c>
    </row>
    <row r="2542" spans="1:5" x14ac:dyDescent="0.25">
      <c r="A2542" t="str">
        <f>"594"</f>
        <v>594</v>
      </c>
      <c r="B2542" t="str">
        <f>"Telefónica 02 CR a.s."</f>
        <v>Telefónica 02 CR a.s.</v>
      </c>
      <c r="C2542" t="str">
        <f>"60193336"</f>
        <v>60193336</v>
      </c>
    </row>
    <row r="2543" spans="1:5" x14ac:dyDescent="0.25">
      <c r="A2543" t="str">
        <f>"08.09.2011"</f>
        <v>08.09.2011</v>
      </c>
      <c r="B2543" t="str">
        <f>"16.09.2011"</f>
        <v>16.09.2011</v>
      </c>
      <c r="C2543" t="str">
        <f>"14.09.2011"</f>
        <v>14.09.2011</v>
      </c>
      <c r="D2543" t="str">
        <f>"1,20"</f>
        <v>1,20</v>
      </c>
      <c r="E2543" t="str">
        <f>"1,20"</f>
        <v>1,20</v>
      </c>
    </row>
    <row r="2546" spans="1:5" x14ac:dyDescent="0.25">
      <c r="A2546" t="str">
        <f>"595"</f>
        <v>595</v>
      </c>
      <c r="B2546" t="str">
        <f>"Telefónica 02 CR a.s."</f>
        <v>Telefónica 02 CR a.s.</v>
      </c>
      <c r="C2546" t="str">
        <f>"60193336"</f>
        <v>60193336</v>
      </c>
    </row>
    <row r="2547" spans="1:5" x14ac:dyDescent="0.25">
      <c r="A2547" t="str">
        <f>"08.09.2011"</f>
        <v>08.09.2011</v>
      </c>
      <c r="B2547" t="str">
        <f>"16.09.2011"</f>
        <v>16.09.2011</v>
      </c>
      <c r="C2547" t="str">
        <f>"14.09.2011"</f>
        <v>14.09.2011</v>
      </c>
      <c r="D2547" t="str">
        <f>"653,41"</f>
        <v>653,41</v>
      </c>
      <c r="E2547" t="str">
        <f>"653,41"</f>
        <v>653,41</v>
      </c>
    </row>
    <row r="2550" spans="1:5" x14ac:dyDescent="0.25">
      <c r="A2550" t="str">
        <f>"596"</f>
        <v>596</v>
      </c>
      <c r="B2550" t="str">
        <f>"Telefónica 02 CR a.s."</f>
        <v>Telefónica 02 CR a.s.</v>
      </c>
      <c r="C2550" t="str">
        <f>"60193336"</f>
        <v>60193336</v>
      </c>
    </row>
    <row r="2551" spans="1:5" x14ac:dyDescent="0.25">
      <c r="A2551" t="str">
        <f>"08.09.2011"</f>
        <v>08.09.2011</v>
      </c>
      <c r="B2551" t="str">
        <f>"16.09.2011"</f>
        <v>16.09.2011</v>
      </c>
      <c r="C2551" t="str">
        <f>"14.09.2011"</f>
        <v>14.09.2011</v>
      </c>
      <c r="D2551" t="str">
        <f>"3.639,49"</f>
        <v>3.639,49</v>
      </c>
      <c r="E2551" t="str">
        <f>"3.639,49"</f>
        <v>3.639,49</v>
      </c>
    </row>
    <row r="2554" spans="1:5" x14ac:dyDescent="0.25">
      <c r="A2554" t="str">
        <f>"597"</f>
        <v>597</v>
      </c>
      <c r="B2554" t="str">
        <f>"Telefónica 02 CR, a.s."</f>
        <v>Telefónica 02 CR, a.s.</v>
      </c>
      <c r="C2554" t="str">
        <f>"60193336"</f>
        <v>60193336</v>
      </c>
    </row>
    <row r="2555" spans="1:5" x14ac:dyDescent="0.25">
      <c r="A2555" t="str">
        <f>"08.09.2011"</f>
        <v>08.09.2011</v>
      </c>
      <c r="B2555" t="str">
        <f>"16.09.2011"</f>
        <v>16.09.2011</v>
      </c>
      <c r="C2555" t="str">
        <f>"16.09.2011"</f>
        <v>16.09.2011</v>
      </c>
      <c r="D2555" t="str">
        <f>"19.376,42"</f>
        <v>19.376,42</v>
      </c>
      <c r="E2555" t="str">
        <f>"19.376,42"</f>
        <v>19.376,42</v>
      </c>
    </row>
    <row r="2558" spans="1:5" x14ac:dyDescent="0.25">
      <c r="A2558" t="str">
        <f>"598"</f>
        <v>598</v>
      </c>
      <c r="B2558" t="str">
        <f>"Ing. Jan Špingl Sez.Ústí"</f>
        <v>Ing. Jan Špingl Sez.Ústí</v>
      </c>
      <c r="C2558" t="str">
        <f>"42403952"</f>
        <v>42403952</v>
      </c>
    </row>
    <row r="2559" spans="1:5" x14ac:dyDescent="0.25">
      <c r="A2559" t="str">
        <f>"08.09.2011"</f>
        <v>08.09.2011</v>
      </c>
      <c r="B2559" t="str">
        <f>"21.09.2011"</f>
        <v>21.09.2011</v>
      </c>
      <c r="C2559" t="str">
        <f>"20.09.2011"</f>
        <v>20.09.2011</v>
      </c>
      <c r="D2559" t="str">
        <f>"5.040,00"</f>
        <v>5.040,00</v>
      </c>
      <c r="E2559" t="str">
        <f>"5.040,00"</f>
        <v>5.040,00</v>
      </c>
    </row>
    <row r="2562" spans="1:5" x14ac:dyDescent="0.25">
      <c r="A2562" t="str">
        <f>"599"</f>
        <v>599</v>
      </c>
      <c r="B2562" t="str">
        <f>"Česká pošta, s.p. Praha"</f>
        <v>Česká pošta, s.p. Praha</v>
      </c>
      <c r="C2562" t="str">
        <f>"47114983"</f>
        <v>47114983</v>
      </c>
    </row>
    <row r="2563" spans="1:5" x14ac:dyDescent="0.25">
      <c r="A2563" t="str">
        <f>"08.09.2011"</f>
        <v>08.09.2011</v>
      </c>
      <c r="B2563" t="str">
        <f>"21.09.2011"</f>
        <v>21.09.2011</v>
      </c>
      <c r="C2563" t="str">
        <f>"20.09.2011"</f>
        <v>20.09.2011</v>
      </c>
      <c r="D2563" t="str">
        <f>"480,00"</f>
        <v>480,00</v>
      </c>
      <c r="E2563" t="str">
        <f>"480,00"</f>
        <v>480,00</v>
      </c>
    </row>
    <row r="2566" spans="1:5" x14ac:dyDescent="0.25">
      <c r="A2566" t="str">
        <f>"600"</f>
        <v>600</v>
      </c>
      <c r="B2566" t="str">
        <f>"ACTIVA s.r.o. Praha 9"</f>
        <v>ACTIVA s.r.o. Praha 9</v>
      </c>
      <c r="C2566" t="str">
        <f>"48111198"</f>
        <v>48111198</v>
      </c>
    </row>
    <row r="2567" spans="1:5" x14ac:dyDescent="0.25">
      <c r="A2567" t="str">
        <f>"08.09.2011"</f>
        <v>08.09.2011</v>
      </c>
      <c r="B2567" t="str">
        <f>"21.09.2011"</f>
        <v>21.09.2011</v>
      </c>
      <c r="C2567" t="str">
        <f>"20.09.2011"</f>
        <v>20.09.2011</v>
      </c>
      <c r="D2567" t="str">
        <f>"14.733,00"</f>
        <v>14.733,00</v>
      </c>
      <c r="E2567" t="str">
        <f>"14.733,00"</f>
        <v>14.733,00</v>
      </c>
    </row>
    <row r="2570" spans="1:5" x14ac:dyDescent="0.25">
      <c r="A2570" t="str">
        <f>"601"</f>
        <v>601</v>
      </c>
      <c r="B2570" t="str">
        <f>"Správa města Soběslavi"</f>
        <v>Správa města Soběslavi</v>
      </c>
      <c r="C2570" t="str">
        <f>"26029987"</f>
        <v>26029987</v>
      </c>
    </row>
    <row r="2571" spans="1:5" x14ac:dyDescent="0.25">
      <c r="A2571" t="str">
        <f>"08.09.2011"</f>
        <v>08.09.2011</v>
      </c>
      <c r="B2571" t="str">
        <f>"22.09.2011"</f>
        <v>22.09.2011</v>
      </c>
      <c r="C2571" t="str">
        <f>"20.09.2011"</f>
        <v>20.09.2011</v>
      </c>
      <c r="D2571" t="str">
        <f>"940.000,00"</f>
        <v>940.000,00</v>
      </c>
      <c r="E2571" t="str">
        <f>"940.000,00"</f>
        <v>940.000,00</v>
      </c>
    </row>
    <row r="2574" spans="1:5" x14ac:dyDescent="0.25">
      <c r="A2574" t="str">
        <f>"602"</f>
        <v>602</v>
      </c>
      <c r="B2574" t="str">
        <f>"QASAR s.r.o. Mažice"</f>
        <v>QASAR s.r.o. Mažice</v>
      </c>
      <c r="C2574" t="str">
        <f>"25192469"</f>
        <v>25192469</v>
      </c>
    </row>
    <row r="2575" spans="1:5" x14ac:dyDescent="0.25">
      <c r="A2575" t="str">
        <f>"08.09.2011"</f>
        <v>08.09.2011</v>
      </c>
      <c r="B2575" t="str">
        <f>"30.09.2011"</f>
        <v>30.09.2011</v>
      </c>
      <c r="C2575" t="str">
        <f>"27.09.2011"</f>
        <v>27.09.2011</v>
      </c>
      <c r="D2575" t="str">
        <f>"4.800,00"</f>
        <v>4.800,00</v>
      </c>
      <c r="E2575" t="str">
        <f>"4.800,00"</f>
        <v>4.800,00</v>
      </c>
    </row>
    <row r="2578" spans="1:5" x14ac:dyDescent="0.25">
      <c r="A2578" t="str">
        <f>"603"</f>
        <v>603</v>
      </c>
      <c r="B2578" t="str">
        <f>"TJ SPARTAK Soběslav"</f>
        <v>TJ SPARTAK Soběslav</v>
      </c>
      <c r="C2578" t="str">
        <f>"46632191"</f>
        <v>46632191</v>
      </c>
    </row>
    <row r="2579" spans="1:5" x14ac:dyDescent="0.25">
      <c r="A2579" t="str">
        <f>"09.09.2011"</f>
        <v>09.09.2011</v>
      </c>
      <c r="B2579" t="str">
        <f>"22.09.2011"</f>
        <v>22.09.2011</v>
      </c>
      <c r="C2579" t="str">
        <f>"20.09.2011"</f>
        <v>20.09.2011</v>
      </c>
      <c r="D2579" t="str">
        <f>"1.838,00"</f>
        <v>1.838,00</v>
      </c>
      <c r="E2579" t="str">
        <f>"1.838,00"</f>
        <v>1.838,00</v>
      </c>
    </row>
    <row r="2581" spans="1:5" x14ac:dyDescent="0.25">
      <c r="A2581" t="str">
        <f>"Poř.č.fak."</f>
        <v>Poř.č.fak.</v>
      </c>
      <c r="B2581" t="str">
        <f>"Dodavatel"</f>
        <v>Dodavatel</v>
      </c>
      <c r="C2581" t="str">
        <f>"IČO"</f>
        <v>IČO</v>
      </c>
    </row>
    <row r="2582" spans="1:5" x14ac:dyDescent="0.25">
      <c r="A2582" t="str">
        <f>"Došla"</f>
        <v>Došla</v>
      </c>
      <c r="B2582" t="str">
        <f>"Splatná"</f>
        <v>Splatná</v>
      </c>
      <c r="C2582" t="str">
        <f>"Zaplacená"</f>
        <v>Zaplacená</v>
      </c>
      <c r="D2582" t="str">
        <f>"Fakt.částka"</f>
        <v>Fakt.částka</v>
      </c>
      <c r="E2582" t="str">
        <f>"Celk.zaplaceno"</f>
        <v>Celk.zaplaceno</v>
      </c>
    </row>
    <row r="2583" spans="1:5" x14ac:dyDescent="0.25">
      <c r="B2583" t="str">
        <f>"Poznámka"</f>
        <v>Poznámka</v>
      </c>
    </row>
    <row r="2584" spans="1:5" x14ac:dyDescent="0.25">
      <c r="A2584" t="str">
        <f>"**********"</f>
        <v>**********</v>
      </c>
      <c r="B2584" t="str">
        <f>"**************************"</f>
        <v>**************************</v>
      </c>
      <c r="C2584" t="str">
        <f>"***********"</f>
        <v>***********</v>
      </c>
      <c r="D2584" t="str">
        <f>"***************"</f>
        <v>***************</v>
      </c>
      <c r="E2584" t="str">
        <f>"***************"</f>
        <v>***************</v>
      </c>
    </row>
    <row r="2586" spans="1:5" x14ac:dyDescent="0.25">
      <c r="A2586" t="str">
        <f>"604"</f>
        <v>604</v>
      </c>
      <c r="B2586" t="str">
        <f>"AZ KORT,s.r.o. Liberec"</f>
        <v>AZ KORT,s.r.o. Liberec</v>
      </c>
      <c r="C2586" t="str">
        <f>"25499718"</f>
        <v>25499718</v>
      </c>
    </row>
    <row r="2587" spans="1:5" x14ac:dyDescent="0.25">
      <c r="A2587" t="str">
        <f>"12.09.2011"</f>
        <v>12.09.2011</v>
      </c>
      <c r="B2587" t="str">
        <f>"23.09.2011"</f>
        <v>23.09.2011</v>
      </c>
      <c r="C2587" t="str">
        <f>"21.09.2011"</f>
        <v>21.09.2011</v>
      </c>
      <c r="D2587" t="str">
        <f>"3.199,00"</f>
        <v>3.199,00</v>
      </c>
      <c r="E2587" t="str">
        <f>"3.199,00"</f>
        <v>3.199,00</v>
      </c>
    </row>
    <row r="2590" spans="1:5" x14ac:dyDescent="0.25">
      <c r="A2590" t="str">
        <f>"605"</f>
        <v>605</v>
      </c>
      <c r="B2590" t="str">
        <f>"Sodexo Pass ČR a.s. Praha"</f>
        <v>Sodexo Pass ČR a.s. Praha</v>
      </c>
      <c r="C2590" t="str">
        <f>"61860476"</f>
        <v>61860476</v>
      </c>
    </row>
    <row r="2591" spans="1:5" x14ac:dyDescent="0.25">
      <c r="A2591" t="str">
        <f>"12.09.2011"</f>
        <v>12.09.2011</v>
      </c>
      <c r="B2591" t="str">
        <f>"22.09.2011"</f>
        <v>22.09.2011</v>
      </c>
      <c r="C2591" t="str">
        <f>"20.09.2011"</f>
        <v>20.09.2011</v>
      </c>
      <c r="D2591" t="str">
        <f>"60.204,00"</f>
        <v>60.204,00</v>
      </c>
      <c r="E2591" t="str">
        <f>"60.204,00"</f>
        <v>60.204,00</v>
      </c>
    </row>
    <row r="2594" spans="1:5" x14ac:dyDescent="0.25">
      <c r="A2594" t="str">
        <f>"606"</f>
        <v>606</v>
      </c>
      <c r="B2594" t="str">
        <f>"RUMPOLD s.r.o. Tábor"</f>
        <v>RUMPOLD s.r.o. Tábor</v>
      </c>
      <c r="C2594" t="str">
        <f>"61459364"</f>
        <v>61459364</v>
      </c>
    </row>
    <row r="2595" spans="1:5" x14ac:dyDescent="0.25">
      <c r="A2595" t="str">
        <f>"12.09.2011"</f>
        <v>12.09.2011</v>
      </c>
      <c r="B2595" t="str">
        <f>"30.09.2011"</f>
        <v>30.09.2011</v>
      </c>
      <c r="C2595" t="str">
        <f>"27.09.2011"</f>
        <v>27.09.2011</v>
      </c>
      <c r="D2595" t="str">
        <f>"9.494,00"</f>
        <v>9.494,00</v>
      </c>
      <c r="E2595" t="str">
        <f>"9.494,00"</f>
        <v>9.494,00</v>
      </c>
    </row>
    <row r="2598" spans="1:5" x14ac:dyDescent="0.25">
      <c r="A2598" t="str">
        <f>"607"</f>
        <v>607</v>
      </c>
      <c r="B2598" t="str">
        <f>"Hajný-T s.r.o."</f>
        <v>Hajný-T s.r.o.</v>
      </c>
      <c r="C2598" t="str">
        <f>"63886839"</f>
        <v>63886839</v>
      </c>
    </row>
    <row r="2599" spans="1:5" x14ac:dyDescent="0.25">
      <c r="A2599" t="str">
        <f>"12.09.2011"</f>
        <v>12.09.2011</v>
      </c>
      <c r="B2599" t="str">
        <f>"14.09.2011"</f>
        <v>14.09.2011</v>
      </c>
      <c r="C2599" t="str">
        <f>"19.09.2011"</f>
        <v>19.09.2011</v>
      </c>
      <c r="D2599" t="str">
        <f>"2.000,00"</f>
        <v>2.000,00</v>
      </c>
      <c r="E2599" t="str">
        <f>"2.000,00"</f>
        <v>2.000,00</v>
      </c>
    </row>
    <row r="2602" spans="1:5" x14ac:dyDescent="0.25">
      <c r="A2602" t="str">
        <f>"608"</f>
        <v>608</v>
      </c>
      <c r="B2602" t="str">
        <f>"KONICA MINOLTA s.r.o."</f>
        <v>KONICA MINOLTA s.r.o.</v>
      </c>
      <c r="C2602" t="str">
        <f>"00176150"</f>
        <v>00176150</v>
      </c>
    </row>
    <row r="2603" spans="1:5" x14ac:dyDescent="0.25">
      <c r="A2603" t="str">
        <f>"13.09.2011"</f>
        <v>13.09.2011</v>
      </c>
      <c r="B2603" t="str">
        <f>"19.09.2011"</f>
        <v>19.09.2011</v>
      </c>
      <c r="C2603" t="str">
        <f>"19.09.2011"</f>
        <v>19.09.2011</v>
      </c>
      <c r="D2603" t="str">
        <f>"367,20"</f>
        <v>367,20</v>
      </c>
      <c r="E2603" t="str">
        <f>"367,20"</f>
        <v>367,20</v>
      </c>
    </row>
    <row r="2606" spans="1:5" x14ac:dyDescent="0.25">
      <c r="A2606" t="str">
        <f>"609"</f>
        <v>609</v>
      </c>
      <c r="B2606" t="str">
        <f>"KONICA MINOLTA s.r.o."</f>
        <v>KONICA MINOLTA s.r.o.</v>
      </c>
      <c r="C2606" t="str">
        <f>"00176150"</f>
        <v>00176150</v>
      </c>
    </row>
    <row r="2607" spans="1:5" x14ac:dyDescent="0.25">
      <c r="A2607" t="str">
        <f>"13.09.2011"</f>
        <v>13.09.2011</v>
      </c>
      <c r="B2607" t="str">
        <f>"19.09.2011"</f>
        <v>19.09.2011</v>
      </c>
      <c r="C2607" t="str">
        <f>"19.09.2011"</f>
        <v>19.09.2011</v>
      </c>
      <c r="D2607" t="str">
        <f>"1.729,70"</f>
        <v>1.729,70</v>
      </c>
      <c r="E2607" t="str">
        <f>"1.729,70"</f>
        <v>1.729,70</v>
      </c>
    </row>
    <row r="2610" spans="1:5" x14ac:dyDescent="0.25">
      <c r="A2610" t="str">
        <f>"610"</f>
        <v>610</v>
      </c>
      <c r="B2610" t="str">
        <f>"KONICA MINOLTA s.r.o."</f>
        <v>KONICA MINOLTA s.r.o.</v>
      </c>
      <c r="C2610" t="str">
        <f>"00176150"</f>
        <v>00176150</v>
      </c>
    </row>
    <row r="2611" spans="1:5" x14ac:dyDescent="0.25">
      <c r="A2611" t="str">
        <f>"13.09.2011"</f>
        <v>13.09.2011</v>
      </c>
      <c r="B2611" t="str">
        <f>"19.09.2011"</f>
        <v>19.09.2011</v>
      </c>
      <c r="C2611" t="str">
        <f>"19.09.2011"</f>
        <v>19.09.2011</v>
      </c>
      <c r="D2611" t="str">
        <f>"3.552,00"</f>
        <v>3.552,00</v>
      </c>
      <c r="E2611" t="str">
        <f>"3.552,00"</f>
        <v>3.552,00</v>
      </c>
    </row>
    <row r="2614" spans="1:5" x14ac:dyDescent="0.25">
      <c r="A2614" t="str">
        <f>"611"</f>
        <v>611</v>
      </c>
      <c r="B2614" t="str">
        <f>"COPY SERVIS Tábor s.r.o."</f>
        <v>COPY SERVIS Tábor s.r.o.</v>
      </c>
      <c r="C2614" t="str">
        <f>"26066939"</f>
        <v>26066939</v>
      </c>
    </row>
    <row r="2615" spans="1:5" x14ac:dyDescent="0.25">
      <c r="A2615" t="str">
        <f>"13.09.2011"</f>
        <v>13.09.2011</v>
      </c>
      <c r="B2615" t="str">
        <f>"23.09.2011"</f>
        <v>23.09.2011</v>
      </c>
      <c r="C2615" t="str">
        <f>"21.09.2011"</f>
        <v>21.09.2011</v>
      </c>
      <c r="D2615" t="str">
        <f>"9.163,20"</f>
        <v>9.163,20</v>
      </c>
      <c r="E2615" t="str">
        <f>"9.163,20"</f>
        <v>9.163,20</v>
      </c>
    </row>
    <row r="2618" spans="1:5" x14ac:dyDescent="0.25">
      <c r="A2618" t="str">
        <f>"612"</f>
        <v>612</v>
      </c>
      <c r="B2618" t="str">
        <f>"DCS Systems,s.r.o. Praha"</f>
        <v>DCS Systems,s.r.o. Praha</v>
      </c>
      <c r="C2618" t="str">
        <f>"26178842"</f>
        <v>26178842</v>
      </c>
    </row>
    <row r="2619" spans="1:5" x14ac:dyDescent="0.25">
      <c r="A2619" t="str">
        <f>"14.09.2011"</f>
        <v>14.09.2011</v>
      </c>
      <c r="B2619" t="str">
        <f>"20.09.2011"</f>
        <v>20.09.2011</v>
      </c>
      <c r="C2619" t="str">
        <f>"19.09.2011"</f>
        <v>19.09.2011</v>
      </c>
      <c r="D2619" t="str">
        <f>"1.200,00"</f>
        <v>1.200,00</v>
      </c>
      <c r="E2619" t="str">
        <f>"1.200,00"</f>
        <v>1.200,00</v>
      </c>
    </row>
    <row r="2622" spans="1:5" x14ac:dyDescent="0.25">
      <c r="A2622" t="str">
        <f>"613"</f>
        <v>613</v>
      </c>
      <c r="B2622" t="str">
        <f>"Technické služby, s.r.o."</f>
        <v>Technické služby, s.r.o.</v>
      </c>
      <c r="C2622" t="str">
        <f>"62502565"</f>
        <v>62502565</v>
      </c>
    </row>
    <row r="2623" spans="1:5" x14ac:dyDescent="0.25">
      <c r="A2623" t="str">
        <f>"14.09.2011"</f>
        <v>14.09.2011</v>
      </c>
      <c r="B2623" t="str">
        <f>"26.09.2011"</f>
        <v>26.09.2011</v>
      </c>
      <c r="C2623" t="str">
        <f>"21.09.2011"</f>
        <v>21.09.2011</v>
      </c>
      <c r="D2623" t="str">
        <f>"5.040,00"</f>
        <v>5.040,00</v>
      </c>
      <c r="E2623" t="str">
        <f>"5.040,00"</f>
        <v>5.040,00</v>
      </c>
    </row>
    <row r="2626" spans="1:5" x14ac:dyDescent="0.25">
      <c r="A2626" t="str">
        <f>"614"</f>
        <v>614</v>
      </c>
      <c r="B2626" t="str">
        <f>"Vltava-Labe-Press a.s."</f>
        <v>Vltava-Labe-Press a.s.</v>
      </c>
      <c r="C2626" t="str">
        <f>"61860981"</f>
        <v>61860981</v>
      </c>
    </row>
    <row r="2627" spans="1:5" x14ac:dyDescent="0.25">
      <c r="A2627" t="str">
        <f>"14.09.2011"</f>
        <v>14.09.2011</v>
      </c>
      <c r="B2627" t="str">
        <f>"23.09.2011"</f>
        <v>23.09.2011</v>
      </c>
      <c r="C2627" t="str">
        <f>"21.09.2011"</f>
        <v>21.09.2011</v>
      </c>
      <c r="D2627" t="str">
        <f>"20.700,00"</f>
        <v>20.700,00</v>
      </c>
      <c r="E2627" t="str">
        <f>"20.700,00"</f>
        <v>20.700,00</v>
      </c>
    </row>
    <row r="2630" spans="1:5" x14ac:dyDescent="0.25">
      <c r="A2630" t="str">
        <f>"615"</f>
        <v>615</v>
      </c>
      <c r="B2630" t="str">
        <f>"Kvičínský"</f>
        <v>Kvičínský</v>
      </c>
      <c r="C2630" t="str">
        <f>"49023331"</f>
        <v>49023331</v>
      </c>
    </row>
    <row r="2631" spans="1:5" x14ac:dyDescent="0.25">
      <c r="A2631" t="str">
        <f>"14.09.2011"</f>
        <v>14.09.2011</v>
      </c>
      <c r="B2631" t="str">
        <f>"21.09.2011"</f>
        <v>21.09.2011</v>
      </c>
      <c r="C2631" t="str">
        <f>"20.09.2011"</f>
        <v>20.09.2011</v>
      </c>
      <c r="D2631" t="str">
        <f>"1.932,00"</f>
        <v>1.932,00</v>
      </c>
      <c r="E2631" t="str">
        <f>"1.932,00"</f>
        <v>1.932,00</v>
      </c>
    </row>
    <row r="2634" spans="1:5" x14ac:dyDescent="0.25">
      <c r="A2634" t="str">
        <f>"616"</f>
        <v>616</v>
      </c>
      <c r="B2634" t="str">
        <f>"SOVT-RADIO  Vodňany"</f>
        <v>SOVT-RADIO  Vodňany</v>
      </c>
      <c r="C2634" t="str">
        <f>"47238810"</f>
        <v>47238810</v>
      </c>
    </row>
    <row r="2635" spans="1:5" x14ac:dyDescent="0.25">
      <c r="A2635" t="str">
        <f>"14.09.2011"</f>
        <v>14.09.2011</v>
      </c>
      <c r="B2635" t="str">
        <f>"23.09.2011"</f>
        <v>23.09.2011</v>
      </c>
      <c r="C2635" t="str">
        <f>"21.09.2011"</f>
        <v>21.09.2011</v>
      </c>
      <c r="D2635" t="str">
        <f>"4.886,00"</f>
        <v>4.886,00</v>
      </c>
      <c r="E2635" t="str">
        <f>"4.886,00"</f>
        <v>4.886,00</v>
      </c>
    </row>
    <row r="2638" spans="1:5" x14ac:dyDescent="0.25">
      <c r="A2638" t="str">
        <f>"617"</f>
        <v>617</v>
      </c>
      <c r="B2638" t="str">
        <f>"Spilka a Říha s.r.o. Sobě"</f>
        <v>Spilka a Říha s.r.o. Sobě</v>
      </c>
      <c r="C2638" t="str">
        <f>"45021309"</f>
        <v>45021309</v>
      </c>
    </row>
    <row r="2639" spans="1:5" x14ac:dyDescent="0.25">
      <c r="A2639" t="str">
        <f>"16.09.2011"</f>
        <v>16.09.2011</v>
      </c>
      <c r="B2639" t="str">
        <f>"08.11.2011"</f>
        <v>08.11.2011</v>
      </c>
      <c r="C2639" t="str">
        <f>"03.11.2011"</f>
        <v>03.11.2011</v>
      </c>
      <c r="D2639" t="str">
        <f>"580.397,00"</f>
        <v>580.397,00</v>
      </c>
      <c r="E2639" t="str">
        <f>"580.397,00"</f>
        <v>580.397,00</v>
      </c>
    </row>
    <row r="2641" spans="1:5" x14ac:dyDescent="0.25">
      <c r="A2641" t="str">
        <f>"Poř.č.fak."</f>
        <v>Poř.č.fak.</v>
      </c>
      <c r="B2641" t="str">
        <f>"Dodavatel"</f>
        <v>Dodavatel</v>
      </c>
      <c r="C2641" t="str">
        <f>"IČO"</f>
        <v>IČO</v>
      </c>
    </row>
    <row r="2642" spans="1:5" x14ac:dyDescent="0.25">
      <c r="A2642" t="str">
        <f>"Došla"</f>
        <v>Došla</v>
      </c>
      <c r="B2642" t="str">
        <f>"Splatná"</f>
        <v>Splatná</v>
      </c>
      <c r="C2642" t="str">
        <f>"Zaplacená"</f>
        <v>Zaplacená</v>
      </c>
      <c r="D2642" t="str">
        <f>"Fakt.částka"</f>
        <v>Fakt.částka</v>
      </c>
      <c r="E2642" t="str">
        <f>"Celk.zaplaceno"</f>
        <v>Celk.zaplaceno</v>
      </c>
    </row>
    <row r="2643" spans="1:5" x14ac:dyDescent="0.25">
      <c r="B2643" t="str">
        <f>"Poznámka"</f>
        <v>Poznámka</v>
      </c>
    </row>
    <row r="2644" spans="1:5" x14ac:dyDescent="0.25">
      <c r="A2644" t="str">
        <f>"**********"</f>
        <v>**********</v>
      </c>
      <c r="B2644" t="str">
        <f>"**************************"</f>
        <v>**************************</v>
      </c>
      <c r="C2644" t="str">
        <f>"***********"</f>
        <v>***********</v>
      </c>
      <c r="D2644" t="str">
        <f>"***************"</f>
        <v>***************</v>
      </c>
      <c r="E2644" t="str">
        <f>"***************"</f>
        <v>***************</v>
      </c>
    </row>
    <row r="2646" spans="1:5" x14ac:dyDescent="0.25">
      <c r="A2646" t="str">
        <f>"618"</f>
        <v>618</v>
      </c>
      <c r="B2646" t="str">
        <f>"STRABAG a.s. Soběslav"</f>
        <v>STRABAG a.s. Soběslav</v>
      </c>
      <c r="C2646" t="str">
        <f>"60838744"</f>
        <v>60838744</v>
      </c>
    </row>
    <row r="2647" spans="1:5" x14ac:dyDescent="0.25">
      <c r="A2647" t="str">
        <f>"16.09.2011"</f>
        <v>16.09.2011</v>
      </c>
      <c r="B2647" t="str">
        <f>"08.11.2011"</f>
        <v>08.11.2011</v>
      </c>
      <c r="C2647" t="str">
        <f>"12.10.2011"</f>
        <v>12.10.2011</v>
      </c>
      <c r="D2647" t="str">
        <f>"962.821,33"</f>
        <v>962.821,33</v>
      </c>
      <c r="E2647" t="str">
        <f>"962.821,33"</f>
        <v>962.821,33</v>
      </c>
    </row>
    <row r="2650" spans="1:5" x14ac:dyDescent="0.25">
      <c r="A2650" t="str">
        <f>"619"</f>
        <v>619</v>
      </c>
      <c r="B2650" t="str">
        <f>"FORUM, s.r.o. Praha 5"</f>
        <v>FORUM, s.r.o. Praha 5</v>
      </c>
      <c r="C2650" t="str">
        <f>"27180271"</f>
        <v>27180271</v>
      </c>
    </row>
    <row r="2651" spans="1:5" x14ac:dyDescent="0.25">
      <c r="A2651" t="str">
        <f>"20.09.2011"</f>
        <v>20.09.2011</v>
      </c>
      <c r="B2651" t="str">
        <f>"16.09.2011"</f>
        <v>16.09.2011</v>
      </c>
      <c r="C2651" t="str">
        <f>"21.09.2011"</f>
        <v>21.09.2011</v>
      </c>
      <c r="D2651" t="str">
        <f>"1.788,00"</f>
        <v>1.788,00</v>
      </c>
      <c r="E2651" t="str">
        <f>"1.788,00"</f>
        <v>1.788,00</v>
      </c>
    </row>
    <row r="2654" spans="1:5" x14ac:dyDescent="0.25">
      <c r="A2654" t="str">
        <f>"620"</f>
        <v>620</v>
      </c>
      <c r="B2654" t="str">
        <f>"Kanadské sruby Tábor"</f>
        <v>Kanadské sruby Tábor</v>
      </c>
      <c r="C2654" t="str">
        <f>"28108078"</f>
        <v>28108078</v>
      </c>
    </row>
    <row r="2655" spans="1:5" x14ac:dyDescent="0.25">
      <c r="A2655" t="str">
        <f>"14.09.2011"</f>
        <v>14.09.2011</v>
      </c>
      <c r="B2655" t="str">
        <f>"26.09.2011"</f>
        <v>26.09.2011</v>
      </c>
      <c r="C2655" t="str">
        <f>"27.09.2011"</f>
        <v>27.09.2011</v>
      </c>
      <c r="D2655" t="str">
        <f>"9.600,00"</f>
        <v>9.600,00</v>
      </c>
      <c r="E2655" t="str">
        <f>"9.600,00"</f>
        <v>9.600,00</v>
      </c>
    </row>
    <row r="2658" spans="1:5" x14ac:dyDescent="0.25">
      <c r="A2658" t="str">
        <f>"621"</f>
        <v>621</v>
      </c>
      <c r="B2658" t="str">
        <f>"Česká pošta, s.p. Praha"</f>
        <v>Česká pošta, s.p. Praha</v>
      </c>
      <c r="C2658" t="str">
        <f>"47114983"</f>
        <v>47114983</v>
      </c>
    </row>
    <row r="2659" spans="1:5" x14ac:dyDescent="0.25">
      <c r="A2659" t="str">
        <f>"19.09.2011"</f>
        <v>19.09.2011</v>
      </c>
      <c r="B2659" t="str">
        <f>"30.09.2011"</f>
        <v>30.09.2011</v>
      </c>
      <c r="C2659" t="str">
        <f>"27.09.2011"</f>
        <v>27.09.2011</v>
      </c>
      <c r="D2659" t="str">
        <f>"396,00"</f>
        <v>396,00</v>
      </c>
      <c r="E2659" t="str">
        <f>"396,00"</f>
        <v>396,00</v>
      </c>
    </row>
    <row r="2662" spans="1:5" x14ac:dyDescent="0.25">
      <c r="A2662" t="str">
        <f>"622"</f>
        <v>622</v>
      </c>
      <c r="B2662" t="str">
        <f>"JIHOSTAV s.r.o. Soběslav"</f>
        <v>JIHOSTAV s.r.o. Soběslav</v>
      </c>
      <c r="C2662" t="str">
        <f>"47239484"</f>
        <v>47239484</v>
      </c>
    </row>
    <row r="2663" spans="1:5" x14ac:dyDescent="0.25">
      <c r="A2663" t="str">
        <f>"20.09.2011"</f>
        <v>20.09.2011</v>
      </c>
      <c r="B2663" t="str">
        <f>"26.09.2011"</f>
        <v>26.09.2011</v>
      </c>
      <c r="C2663" t="str">
        <f>"27.09.2011"</f>
        <v>27.09.2011</v>
      </c>
      <c r="D2663" t="str">
        <f>"277.749,00"</f>
        <v>277.749,00</v>
      </c>
      <c r="E2663" t="str">
        <f>"277.749,00"</f>
        <v>277.749,00</v>
      </c>
    </row>
    <row r="2666" spans="1:5" x14ac:dyDescent="0.25">
      <c r="A2666" t="str">
        <f>"623"</f>
        <v>623</v>
      </c>
      <c r="B2666" t="str">
        <f>"Vladimír Němec Soběslav"</f>
        <v>Vladimír Němec Soběslav</v>
      </c>
      <c r="C2666" t="str">
        <f>"45017344"</f>
        <v>45017344</v>
      </c>
    </row>
    <row r="2667" spans="1:5" x14ac:dyDescent="0.25">
      <c r="A2667" t="str">
        <f>"20.09.2011"</f>
        <v>20.09.2011</v>
      </c>
      <c r="B2667" t="str">
        <f>"10.10.2011"</f>
        <v>10.10.2011</v>
      </c>
      <c r="C2667" t="str">
        <f>"06.10.2011"</f>
        <v>06.10.2011</v>
      </c>
      <c r="D2667" t="str">
        <f>"6.720,00"</f>
        <v>6.720,00</v>
      </c>
      <c r="E2667" t="str">
        <f>"6.720,00"</f>
        <v>6.720,00</v>
      </c>
    </row>
    <row r="2670" spans="1:5" x14ac:dyDescent="0.25">
      <c r="A2670" t="str">
        <f>"624"</f>
        <v>624</v>
      </c>
      <c r="B2670" t="str">
        <f>"Petr Molek Soběslav"</f>
        <v>Petr Molek Soběslav</v>
      </c>
      <c r="C2670" t="str">
        <f>"11343362"</f>
        <v>11343362</v>
      </c>
    </row>
    <row r="2671" spans="1:5" x14ac:dyDescent="0.25">
      <c r="A2671" t="str">
        <f>"20.09.2011"</f>
        <v>20.09.2011</v>
      </c>
      <c r="B2671" t="str">
        <f>"03.10.2011"</f>
        <v>03.10.2011</v>
      </c>
      <c r="C2671" t="str">
        <f>"30.09.2011"</f>
        <v>30.09.2011</v>
      </c>
      <c r="D2671" t="str">
        <f>"12.360,00"</f>
        <v>12.360,00</v>
      </c>
      <c r="E2671" t="str">
        <f>"12.360,00"</f>
        <v>12.360,00</v>
      </c>
    </row>
    <row r="2674" spans="1:5" x14ac:dyDescent="0.25">
      <c r="A2674" t="str">
        <f>"625"</f>
        <v>625</v>
      </c>
      <c r="B2674" t="str">
        <f>"Správa města Soběslavi"</f>
        <v>Správa města Soběslavi</v>
      </c>
      <c r="C2674" t="str">
        <f>"26029987"</f>
        <v>26029987</v>
      </c>
    </row>
    <row r="2675" spans="1:5" x14ac:dyDescent="0.25">
      <c r="A2675" t="str">
        <f>"23.09.2011"</f>
        <v>23.09.2011</v>
      </c>
      <c r="B2675" t="str">
        <f>"07.10.2011"</f>
        <v>07.10.2011</v>
      </c>
      <c r="C2675" t="str">
        <f>"05.10.2011"</f>
        <v>05.10.2011</v>
      </c>
      <c r="D2675" t="str">
        <f>"5.376,00"</f>
        <v>5.376,00</v>
      </c>
      <c r="E2675" t="str">
        <f>"5.376,00"</f>
        <v>5.376,00</v>
      </c>
    </row>
    <row r="2678" spans="1:5" x14ac:dyDescent="0.25">
      <c r="A2678" t="str">
        <f>"626"</f>
        <v>626</v>
      </c>
      <c r="B2678" t="str">
        <f>"Správa města Soběslavi"</f>
        <v>Správa města Soběslavi</v>
      </c>
      <c r="C2678" t="str">
        <f>"26029987"</f>
        <v>26029987</v>
      </c>
    </row>
    <row r="2679" spans="1:5" x14ac:dyDescent="0.25">
      <c r="A2679" t="str">
        <f>"23.09.2011"</f>
        <v>23.09.2011</v>
      </c>
      <c r="B2679" t="str">
        <f>"07.10.2011"</f>
        <v>07.10.2011</v>
      </c>
      <c r="C2679" t="str">
        <f>"05.10.2011"</f>
        <v>05.10.2011</v>
      </c>
      <c r="D2679" t="str">
        <f>"29.407,00"</f>
        <v>29.407,00</v>
      </c>
      <c r="E2679" t="str">
        <f>"29.407,00"</f>
        <v>29.407,00</v>
      </c>
    </row>
    <row r="2682" spans="1:5" x14ac:dyDescent="0.25">
      <c r="A2682" t="str">
        <f>"627"</f>
        <v>627</v>
      </c>
      <c r="B2682" t="str">
        <f>"Ivan Bělohlav Klenovice"</f>
        <v>Ivan Bělohlav Klenovice</v>
      </c>
      <c r="C2682" t="str">
        <f>"13521951"</f>
        <v>13521951</v>
      </c>
    </row>
    <row r="2683" spans="1:5" x14ac:dyDescent="0.25">
      <c r="A2683" t="str">
        <f>"30.09.2011"</f>
        <v>30.09.2011</v>
      </c>
      <c r="B2683" t="str">
        <f>"03.10.2011"</f>
        <v>03.10.2011</v>
      </c>
      <c r="C2683" t="str">
        <f>"03.10.2011"</f>
        <v>03.10.2011</v>
      </c>
      <c r="D2683" t="str">
        <f>"34.000,00"</f>
        <v>34.000,00</v>
      </c>
      <c r="E2683" t="str">
        <f>"34.000,00"</f>
        <v>34.000,00</v>
      </c>
    </row>
    <row r="2686" spans="1:5" x14ac:dyDescent="0.25">
      <c r="A2686" t="str">
        <f>"628"</f>
        <v>628</v>
      </c>
      <c r="B2686" t="str">
        <f>"Akustika Praha s.r.o."</f>
        <v>Akustika Praha s.r.o.</v>
      </c>
      <c r="C2686" t="str">
        <f>"60490608"</f>
        <v>60490608</v>
      </c>
    </row>
    <row r="2687" spans="1:5" x14ac:dyDescent="0.25">
      <c r="A2687" t="str">
        <f>"23.09.2011"</f>
        <v>23.09.2011</v>
      </c>
      <c r="B2687" t="str">
        <f>"06.10.2011"</f>
        <v>06.10.2011</v>
      </c>
      <c r="C2687" t="str">
        <f>"04.10.2011"</f>
        <v>04.10.2011</v>
      </c>
      <c r="D2687" t="str">
        <f>"12.000,00"</f>
        <v>12.000,00</v>
      </c>
      <c r="E2687" t="str">
        <f>"12.000,00"</f>
        <v>12.000,00</v>
      </c>
    </row>
    <row r="2690" spans="1:5" x14ac:dyDescent="0.25">
      <c r="A2690" t="str">
        <f>"629"</f>
        <v>629</v>
      </c>
      <c r="B2690" t="str">
        <f>"Reklamní ateliér s.r.o."</f>
        <v>Reklamní ateliér s.r.o.</v>
      </c>
      <c r="C2690" t="str">
        <f>"46683160"</f>
        <v>46683160</v>
      </c>
    </row>
    <row r="2691" spans="1:5" x14ac:dyDescent="0.25">
      <c r="A2691" t="str">
        <f>"23.09.2011"</f>
        <v>23.09.2011</v>
      </c>
      <c r="B2691" t="str">
        <f>"03.10.2011"</f>
        <v>03.10.2011</v>
      </c>
      <c r="C2691" t="str">
        <f>"04.10.2011"</f>
        <v>04.10.2011</v>
      </c>
      <c r="D2691" t="str">
        <f>"20.724,00"</f>
        <v>20.724,00</v>
      </c>
      <c r="E2691" t="str">
        <f>"20.724,00"</f>
        <v>20.724,00</v>
      </c>
    </row>
    <row r="2694" spans="1:5" x14ac:dyDescent="0.25">
      <c r="A2694" t="str">
        <f>"630"</f>
        <v>630</v>
      </c>
      <c r="B2694" t="str">
        <f>"Zotepo s.r.o."</f>
        <v>Zotepo s.r.o.</v>
      </c>
      <c r="C2694" t="str">
        <f>"26020025"</f>
        <v>26020025</v>
      </c>
    </row>
    <row r="2695" spans="1:5" x14ac:dyDescent="0.25">
      <c r="A2695" t="str">
        <f>"23.09.2011"</f>
        <v>23.09.2011</v>
      </c>
      <c r="B2695" t="str">
        <f>"01.10.2011"</f>
        <v>01.10.2011</v>
      </c>
      <c r="C2695" t="str">
        <f>"04.10.2011"</f>
        <v>04.10.2011</v>
      </c>
      <c r="D2695" t="str">
        <f>"43.645,00"</f>
        <v>43.645,00</v>
      </c>
      <c r="E2695" t="str">
        <f>"43.645,00"</f>
        <v>43.645,00</v>
      </c>
    </row>
    <row r="2698" spans="1:5" x14ac:dyDescent="0.25">
      <c r="A2698" t="str">
        <f>"631"</f>
        <v>631</v>
      </c>
      <c r="B2698" t="str">
        <f>"Spilka a Říha s.r.o. Sobě"</f>
        <v>Spilka a Říha s.r.o. Sobě</v>
      </c>
      <c r="C2698" t="str">
        <f>"45021309"</f>
        <v>45021309</v>
      </c>
    </row>
    <row r="2699" spans="1:5" x14ac:dyDescent="0.25">
      <c r="A2699" t="str">
        <f>"23.09.2011"</f>
        <v>23.09.2011</v>
      </c>
      <c r="B2699" t="str">
        <f>"21.10.2011"</f>
        <v>21.10.2011</v>
      </c>
      <c r="C2699" t="str">
        <f>"12.10.2011"</f>
        <v>12.10.2011</v>
      </c>
      <c r="D2699" t="str">
        <f>"1.357.719,00"</f>
        <v>1.357.719,00</v>
      </c>
      <c r="E2699" t="str">
        <f>"1.357.719,00"</f>
        <v>1.357.719,00</v>
      </c>
    </row>
    <row r="2701" spans="1:5" x14ac:dyDescent="0.25">
      <c r="A2701" t="str">
        <f>"Poř.č.fak."</f>
        <v>Poř.č.fak.</v>
      </c>
      <c r="B2701" t="str">
        <f>"Dodavatel"</f>
        <v>Dodavatel</v>
      </c>
      <c r="C2701" t="str">
        <f>"IČO"</f>
        <v>IČO</v>
      </c>
    </row>
    <row r="2702" spans="1:5" x14ac:dyDescent="0.25">
      <c r="A2702" t="str">
        <f>"Došla"</f>
        <v>Došla</v>
      </c>
      <c r="B2702" t="str">
        <f>"Splatná"</f>
        <v>Splatná</v>
      </c>
      <c r="C2702" t="str">
        <f>"Zaplacená"</f>
        <v>Zaplacená</v>
      </c>
      <c r="D2702" t="str">
        <f>"Fakt.částka"</f>
        <v>Fakt.částka</v>
      </c>
      <c r="E2702" t="str">
        <f>"Celk.zaplaceno"</f>
        <v>Celk.zaplaceno</v>
      </c>
    </row>
    <row r="2703" spans="1:5" x14ac:dyDescent="0.25">
      <c r="B2703" t="str">
        <f>"Poznámka"</f>
        <v>Poznámka</v>
      </c>
    </row>
    <row r="2704" spans="1:5" x14ac:dyDescent="0.25">
      <c r="A2704" t="str">
        <f>"**********"</f>
        <v>**********</v>
      </c>
      <c r="B2704" t="str">
        <f>"**************************"</f>
        <v>**************************</v>
      </c>
      <c r="C2704" t="str">
        <f>"***********"</f>
        <v>***********</v>
      </c>
      <c r="D2704" t="str">
        <f>"***************"</f>
        <v>***************</v>
      </c>
      <c r="E2704" t="str">
        <f>"***************"</f>
        <v>***************</v>
      </c>
    </row>
    <row r="2706" spans="1:5" x14ac:dyDescent="0.25">
      <c r="A2706" t="str">
        <f>"632"</f>
        <v>632</v>
      </c>
      <c r="B2706" t="str">
        <f>"Státní statek Jeneč s.p."</f>
        <v>Státní statek Jeneč s.p.</v>
      </c>
      <c r="C2706" t="str">
        <f>"00016918"</f>
        <v>00016918</v>
      </c>
    </row>
    <row r="2707" spans="1:5" x14ac:dyDescent="0.25">
      <c r="A2707" t="str">
        <f>"26.09.2011"</f>
        <v>26.09.2011</v>
      </c>
      <c r="B2707" t="str">
        <f>"05.10.2011"</f>
        <v>05.10.2011</v>
      </c>
      <c r="C2707" t="str">
        <f>"04.10.2011"</f>
        <v>04.10.2011</v>
      </c>
      <c r="D2707" t="str">
        <f>"700,00"</f>
        <v>700,00</v>
      </c>
      <c r="E2707" t="str">
        <f>"700,00"</f>
        <v>700,00</v>
      </c>
    </row>
    <row r="2710" spans="1:5" x14ac:dyDescent="0.25">
      <c r="A2710" t="str">
        <f>"633"</f>
        <v>633</v>
      </c>
      <c r="B2710" t="str">
        <f>"Domov Fauny s.r.o. Praha"</f>
        <v>Domov Fauny s.r.o. Praha</v>
      </c>
      <c r="C2710" t="str">
        <f>"27195481"</f>
        <v>27195481</v>
      </c>
    </row>
    <row r="2711" spans="1:5" x14ac:dyDescent="0.25">
      <c r="A2711" t="str">
        <f>"27.09.2011"</f>
        <v>27.09.2011</v>
      </c>
      <c r="B2711" t="str">
        <f>"10.10.2011"</f>
        <v>10.10.2011</v>
      </c>
      <c r="C2711" t="str">
        <f>"06.10.2011"</f>
        <v>06.10.2011</v>
      </c>
      <c r="D2711" t="str">
        <f>"7.200,00"</f>
        <v>7.200,00</v>
      </c>
      <c r="E2711" t="str">
        <f>"7.200,00"</f>
        <v>7.200,00</v>
      </c>
    </row>
    <row r="2714" spans="1:5" x14ac:dyDescent="0.25">
      <c r="A2714" t="str">
        <f>"634"</f>
        <v>634</v>
      </c>
      <c r="B2714" t="str">
        <f>"ECO  s.r.o. Tábor"</f>
        <v>ECO  s.r.o. Tábor</v>
      </c>
      <c r="C2714" t="str">
        <f>"63907828"</f>
        <v>63907828</v>
      </c>
    </row>
    <row r="2715" spans="1:5" x14ac:dyDescent="0.25">
      <c r="A2715" t="str">
        <f>"29.09.2011"</f>
        <v>29.09.2011</v>
      </c>
      <c r="B2715" t="str">
        <f>"11.10.2011"</f>
        <v>11.10.2011</v>
      </c>
      <c r="C2715" t="str">
        <f>"06.10.2011"</f>
        <v>06.10.2011</v>
      </c>
      <c r="D2715" t="str">
        <f>"18.300,00"</f>
        <v>18.300,00</v>
      </c>
      <c r="E2715" t="str">
        <f>"18.300,00"</f>
        <v>18.300,00</v>
      </c>
    </row>
    <row r="2718" spans="1:5" x14ac:dyDescent="0.25">
      <c r="A2718" t="str">
        <f>"635"</f>
        <v>635</v>
      </c>
      <c r="B2718" t="str">
        <f>"Autoservis Jindra s.r.o."</f>
        <v>Autoservis Jindra s.r.o.</v>
      </c>
      <c r="C2718" t="str">
        <f>"63277956"</f>
        <v>63277956</v>
      </c>
    </row>
    <row r="2719" spans="1:5" x14ac:dyDescent="0.25">
      <c r="A2719" t="str">
        <f>"30.09.2011"</f>
        <v>30.09.2011</v>
      </c>
      <c r="B2719" t="str">
        <f>"06.10.2011"</f>
        <v>06.10.2011</v>
      </c>
      <c r="C2719" t="str">
        <f>"04.10.2011"</f>
        <v>04.10.2011</v>
      </c>
      <c r="D2719" t="str">
        <f>"1.708,00"</f>
        <v>1.708,00</v>
      </c>
      <c r="E2719" t="str">
        <f>"1.708,00"</f>
        <v>1.708,00</v>
      </c>
    </row>
    <row r="2722" spans="1:5" x14ac:dyDescent="0.25">
      <c r="A2722" t="str">
        <f>"636"</f>
        <v>636</v>
      </c>
      <c r="B2722" t="str">
        <f>"Petr Vacek Soběslav"</f>
        <v>Petr Vacek Soběslav</v>
      </c>
      <c r="C2722" t="str">
        <f>"62511637"</f>
        <v>62511637</v>
      </c>
    </row>
    <row r="2723" spans="1:5" x14ac:dyDescent="0.25">
      <c r="A2723" t="str">
        <f>"30.09.2011"</f>
        <v>30.09.2011</v>
      </c>
      <c r="B2723" t="str">
        <f>"30.09.2011"</f>
        <v>30.09.2011</v>
      </c>
      <c r="C2723" t="str">
        <f>"04.10.2011"</f>
        <v>04.10.2011</v>
      </c>
      <c r="D2723" t="str">
        <f>"2.340,00"</f>
        <v>2.340,00</v>
      </c>
      <c r="E2723" t="str">
        <f>"2.340,00"</f>
        <v>2.340,00</v>
      </c>
    </row>
    <row r="2726" spans="1:5" x14ac:dyDescent="0.25">
      <c r="A2726" t="str">
        <f>"637"</f>
        <v>637</v>
      </c>
      <c r="B2726" t="str">
        <f>"Václav Hrůza Praha"</f>
        <v>Václav Hrůza Praha</v>
      </c>
      <c r="C2726" t="str">
        <f>"510224114"</f>
        <v>510224114</v>
      </c>
    </row>
    <row r="2727" spans="1:5" x14ac:dyDescent="0.25">
      <c r="A2727" t="str">
        <f>"30.09.2011"</f>
        <v>30.09.2011</v>
      </c>
      <c r="B2727" t="str">
        <f>"08.10.2011"</f>
        <v>08.10.2011</v>
      </c>
      <c r="C2727" t="str">
        <f>"04.10.2011"</f>
        <v>04.10.2011</v>
      </c>
      <c r="D2727" t="str">
        <f>"145.000,00"</f>
        <v>145.000,00</v>
      </c>
      <c r="E2727" t="str">
        <f>"145.000,00"</f>
        <v>145.000,00</v>
      </c>
    </row>
    <row r="2730" spans="1:5" x14ac:dyDescent="0.25">
      <c r="A2730" t="str">
        <f>"638"</f>
        <v>638</v>
      </c>
      <c r="B2730" t="str">
        <f>"Autoservis Jindra s.r.o."</f>
        <v>Autoservis Jindra s.r.o.</v>
      </c>
      <c r="C2730" t="str">
        <f>"63277956"</f>
        <v>63277956</v>
      </c>
    </row>
    <row r="2731" spans="1:5" x14ac:dyDescent="0.25">
      <c r="A2731" t="str">
        <f>"30.09.2011"</f>
        <v>30.09.2011</v>
      </c>
      <c r="B2731" t="str">
        <f>"07.10.2011"</f>
        <v>07.10.2011</v>
      </c>
      <c r="C2731" t="str">
        <f>"05.10.2011"</f>
        <v>05.10.2011</v>
      </c>
      <c r="D2731" t="str">
        <f>"298.450,00"</f>
        <v>298.450,00</v>
      </c>
      <c r="E2731" t="str">
        <f>"298.450,00"</f>
        <v>298.450,00</v>
      </c>
    </row>
    <row r="2734" spans="1:5" x14ac:dyDescent="0.25">
      <c r="A2734" t="str">
        <f>"639"</f>
        <v>639</v>
      </c>
      <c r="B2734" t="str">
        <f>"Autoservis Jindra s.r.o."</f>
        <v>Autoservis Jindra s.r.o.</v>
      </c>
      <c r="C2734" t="str">
        <f>"63277956"</f>
        <v>63277956</v>
      </c>
    </row>
    <row r="2735" spans="1:5" x14ac:dyDescent="0.25">
      <c r="A2735" t="str">
        <f>"03.10.2011"</f>
        <v>03.10.2011</v>
      </c>
      <c r="B2735" t="str">
        <f>"07.10.2011"</f>
        <v>07.10.2011</v>
      </c>
      <c r="C2735" t="str">
        <f>"06.10.2011"</f>
        <v>06.10.2011</v>
      </c>
      <c r="D2735" t="str">
        <f>"7.900,00"</f>
        <v>7.900,00</v>
      </c>
      <c r="E2735" t="str">
        <f>"7.900,00"</f>
        <v>7.900,00</v>
      </c>
    </row>
    <row r="2738" spans="1:5" x14ac:dyDescent="0.25">
      <c r="A2738" t="str">
        <f>"640"</f>
        <v>640</v>
      </c>
      <c r="B2738" t="str">
        <f>"Institut pro místní správ"</f>
        <v>Institut pro místní správ</v>
      </c>
      <c r="C2738" t="str">
        <f>"70890293"</f>
        <v>70890293</v>
      </c>
    </row>
    <row r="2739" spans="1:5" x14ac:dyDescent="0.25">
      <c r="A2739" t="str">
        <f>"05.10.2011"</f>
        <v>05.10.2011</v>
      </c>
      <c r="B2739" t="str">
        <f>"19.10.2011"</f>
        <v>19.10.2011</v>
      </c>
      <c r="C2739" t="str">
        <f>"06.10.2011"</f>
        <v>06.10.2011</v>
      </c>
      <c r="D2739" t="str">
        <f>"1.100,00"</f>
        <v>1.100,00</v>
      </c>
      <c r="E2739" t="str">
        <f>"1.100,00"</f>
        <v>1.100,00</v>
      </c>
    </row>
    <row r="2742" spans="1:5" x14ac:dyDescent="0.25">
      <c r="A2742" t="str">
        <f>"641"</f>
        <v>641</v>
      </c>
      <c r="B2742" t="str">
        <f>"Java Třeboň"</f>
        <v>Java Třeboň</v>
      </c>
      <c r="C2742" t="str">
        <f>"15792994"</f>
        <v>15792994</v>
      </c>
    </row>
    <row r="2743" spans="1:5" x14ac:dyDescent="0.25">
      <c r="A2743" t="str">
        <f>"04.10.2011"</f>
        <v>04.10.2011</v>
      </c>
      <c r="B2743" t="str">
        <f>"09.10.2011"</f>
        <v>09.10.2011</v>
      </c>
      <c r="C2743" t="str">
        <f>"07.10.2011"</f>
        <v>07.10.2011</v>
      </c>
      <c r="D2743" t="str">
        <f>"28.182,00"</f>
        <v>28.182,00</v>
      </c>
      <c r="E2743" t="str">
        <f>"28.182,00"</f>
        <v>28.182,00</v>
      </c>
    </row>
    <row r="2746" spans="1:5" x14ac:dyDescent="0.25">
      <c r="A2746" t="str">
        <f>"642"</f>
        <v>642</v>
      </c>
      <c r="B2746" t="str">
        <f>"Václav Hrůza Praha"</f>
        <v>Václav Hrůza Praha</v>
      </c>
      <c r="C2746" t="str">
        <f>"510224114"</f>
        <v>510224114</v>
      </c>
    </row>
    <row r="2747" spans="1:5" x14ac:dyDescent="0.25">
      <c r="A2747" t="str">
        <f>"03.10.2011"</f>
        <v>03.10.2011</v>
      </c>
      <c r="B2747" t="str">
        <f>"14.10.2011"</f>
        <v>14.10.2011</v>
      </c>
      <c r="C2747" t="str">
        <f>"11.10.2011"</f>
        <v>11.10.2011</v>
      </c>
      <c r="D2747" t="str">
        <f>"30.000,00"</f>
        <v>30.000,00</v>
      </c>
      <c r="E2747" t="str">
        <f>"30.000,00"</f>
        <v>30.000,00</v>
      </c>
    </row>
    <row r="2750" spans="1:5" x14ac:dyDescent="0.25">
      <c r="A2750" t="str">
        <f>"643"</f>
        <v>643</v>
      </c>
      <c r="B2750" t="str">
        <f>"Sodexo Pass ČR a.s. Praha"</f>
        <v>Sodexo Pass ČR a.s. Praha</v>
      </c>
      <c r="C2750" t="str">
        <f>"61860476"</f>
        <v>61860476</v>
      </c>
    </row>
    <row r="2751" spans="1:5" x14ac:dyDescent="0.25">
      <c r="A2751" t="str">
        <f>"03.10.2011"</f>
        <v>03.10.2011</v>
      </c>
      <c r="B2751" t="str">
        <f>"14.10.2011"</f>
        <v>14.10.2011</v>
      </c>
      <c r="C2751" t="str">
        <f>"11.10.2011"</f>
        <v>11.10.2011</v>
      </c>
      <c r="D2751" t="str">
        <f>"60.204,00"</f>
        <v>60.204,00</v>
      </c>
      <c r="E2751" t="str">
        <f>"60.204,00"</f>
        <v>60.204,00</v>
      </c>
    </row>
    <row r="2754" spans="1:5" x14ac:dyDescent="0.25">
      <c r="A2754" t="str">
        <f>"644"</f>
        <v>644</v>
      </c>
      <c r="B2754" t="str">
        <f>"VITA software s.r.o. Prah"</f>
        <v>VITA software s.r.o. Prah</v>
      </c>
      <c r="C2754" t="str">
        <f>"61060631"</f>
        <v>61060631</v>
      </c>
    </row>
    <row r="2755" spans="1:5" x14ac:dyDescent="0.25">
      <c r="A2755" t="str">
        <f>"03.10.2011"</f>
        <v>03.10.2011</v>
      </c>
      <c r="B2755" t="str">
        <f>"16.10.2011"</f>
        <v>16.10.2011</v>
      </c>
      <c r="C2755" t="str">
        <f>"12.10.2011"</f>
        <v>12.10.2011</v>
      </c>
      <c r="D2755" t="str">
        <f>"1.800,00"</f>
        <v>1.800,00</v>
      </c>
      <c r="E2755" t="str">
        <f>"1.800,00"</f>
        <v>1.800,00</v>
      </c>
    </row>
    <row r="2758" spans="1:5" x14ac:dyDescent="0.25">
      <c r="A2758" t="str">
        <f>"645"</f>
        <v>645</v>
      </c>
      <c r="B2758" t="str">
        <f>"Hajný-T s.r.o."</f>
        <v>Hajný-T s.r.o.</v>
      </c>
      <c r="C2758" t="str">
        <f>"63886839"</f>
        <v>63886839</v>
      </c>
    </row>
    <row r="2759" spans="1:5" x14ac:dyDescent="0.25">
      <c r="A2759" t="str">
        <f>"03.10.2011"</f>
        <v>03.10.2011</v>
      </c>
      <c r="B2759" t="str">
        <f>"14.10.2011"</f>
        <v>14.10.2011</v>
      </c>
      <c r="C2759" t="str">
        <f>"11.10.2011"</f>
        <v>11.10.2011</v>
      </c>
      <c r="D2759" t="str">
        <f>"2.000,00"</f>
        <v>2.000,00</v>
      </c>
      <c r="E2759" t="str">
        <f>"2.000,00"</f>
        <v>2.000,00</v>
      </c>
    </row>
    <row r="2761" spans="1:5" x14ac:dyDescent="0.25">
      <c r="A2761" t="str">
        <f>"Poř.č.fak."</f>
        <v>Poř.č.fak.</v>
      </c>
      <c r="B2761" t="str">
        <f>"Dodavatel"</f>
        <v>Dodavatel</v>
      </c>
      <c r="C2761" t="str">
        <f>"IČO"</f>
        <v>IČO</v>
      </c>
    </row>
    <row r="2762" spans="1:5" x14ac:dyDescent="0.25">
      <c r="A2762" t="str">
        <f>"Došla"</f>
        <v>Došla</v>
      </c>
      <c r="B2762" t="str">
        <f>"Splatná"</f>
        <v>Splatná</v>
      </c>
      <c r="C2762" t="str">
        <f>"Zaplacená"</f>
        <v>Zaplacená</v>
      </c>
      <c r="D2762" t="str">
        <f>"Fakt.částka"</f>
        <v>Fakt.částka</v>
      </c>
      <c r="E2762" t="str">
        <f>"Celk.zaplaceno"</f>
        <v>Celk.zaplaceno</v>
      </c>
    </row>
    <row r="2763" spans="1:5" x14ac:dyDescent="0.25">
      <c r="B2763" t="str">
        <f>"Poznámka"</f>
        <v>Poznámka</v>
      </c>
    </row>
    <row r="2764" spans="1:5" x14ac:dyDescent="0.25">
      <c r="A2764" t="str">
        <f>"**********"</f>
        <v>**********</v>
      </c>
      <c r="B2764" t="str">
        <f>"**************************"</f>
        <v>**************************</v>
      </c>
      <c r="C2764" t="str">
        <f>"***********"</f>
        <v>***********</v>
      </c>
      <c r="D2764" t="str">
        <f>"***************"</f>
        <v>***************</v>
      </c>
      <c r="E2764" t="str">
        <f>"***************"</f>
        <v>***************</v>
      </c>
    </row>
    <row r="2766" spans="1:5" x14ac:dyDescent="0.25">
      <c r="A2766" t="str">
        <f>"646"</f>
        <v>646</v>
      </c>
      <c r="B2766" t="str">
        <f>"QASAR s.r.o. Mažice"</f>
        <v>QASAR s.r.o. Mažice</v>
      </c>
      <c r="C2766" t="str">
        <f>"25192469"</f>
        <v>25192469</v>
      </c>
    </row>
    <row r="2767" spans="1:5" x14ac:dyDescent="0.25">
      <c r="A2767" t="str">
        <f>"03.10.2011"</f>
        <v>03.10.2011</v>
      </c>
      <c r="B2767" t="str">
        <f>"31.10.2011"</f>
        <v>31.10.2011</v>
      </c>
      <c r="C2767" t="str">
        <f>"26.10.2011"</f>
        <v>26.10.2011</v>
      </c>
      <c r="D2767" t="str">
        <f>"4.800,00"</f>
        <v>4.800,00</v>
      </c>
      <c r="E2767" t="str">
        <f>"4.800,00"</f>
        <v>4.800,00</v>
      </c>
    </row>
    <row r="2770" spans="1:5" x14ac:dyDescent="0.25">
      <c r="A2770" t="str">
        <f>"647"</f>
        <v>647</v>
      </c>
      <c r="B2770" t="str">
        <f>"GEFOS a.s. Praha 8"</f>
        <v>GEFOS a.s. Praha 8</v>
      </c>
      <c r="C2770" t="str">
        <f>"25684213"</f>
        <v>25684213</v>
      </c>
    </row>
    <row r="2771" spans="1:5" x14ac:dyDescent="0.25">
      <c r="A2771" t="str">
        <f>"04.10.2011"</f>
        <v>04.10.2011</v>
      </c>
      <c r="B2771" t="str">
        <f>"17.10.2011"</f>
        <v>17.10.2011</v>
      </c>
      <c r="C2771" t="str">
        <f>"12.10.2011"</f>
        <v>12.10.2011</v>
      </c>
      <c r="D2771" t="str">
        <f>"10.440,00"</f>
        <v>10.440,00</v>
      </c>
      <c r="E2771" t="str">
        <f>"10.440,00"</f>
        <v>10.440,00</v>
      </c>
    </row>
    <row r="2774" spans="1:5" x14ac:dyDescent="0.25">
      <c r="A2774" t="str">
        <f>"648"</f>
        <v>648</v>
      </c>
      <c r="B2774" t="str">
        <f>"Ing. Pavel Douša Tábor"</f>
        <v>Ing. Pavel Douša Tábor</v>
      </c>
      <c r="C2774" t="str">
        <f>"10325123"</f>
        <v>10325123</v>
      </c>
    </row>
    <row r="2775" spans="1:5" x14ac:dyDescent="0.25">
      <c r="A2775" t="str">
        <f>"04.10.2011"</f>
        <v>04.10.2011</v>
      </c>
      <c r="B2775" t="str">
        <f>"17.10.2011"</f>
        <v>17.10.2011</v>
      </c>
      <c r="C2775" t="str">
        <f>"12.10.2011"</f>
        <v>12.10.2011</v>
      </c>
      <c r="D2775" t="str">
        <f>"36.000,00"</f>
        <v>36.000,00</v>
      </c>
      <c r="E2775" t="str">
        <f>"36.000,00"</f>
        <v>36.000,00</v>
      </c>
    </row>
    <row r="2778" spans="1:5" x14ac:dyDescent="0.25">
      <c r="A2778" t="str">
        <f>"649"</f>
        <v>649</v>
      </c>
      <c r="B2778" t="str">
        <f>"RUMPOLD s.r.o. Tábor"</f>
        <v>RUMPOLD s.r.o. Tábor</v>
      </c>
      <c r="C2778" t="str">
        <f>"61459364"</f>
        <v>61459364</v>
      </c>
    </row>
    <row r="2779" spans="1:5" x14ac:dyDescent="0.25">
      <c r="A2779" t="str">
        <f>"04.10.2011"</f>
        <v>04.10.2011</v>
      </c>
      <c r="B2779" t="str">
        <f>"30.10.2011"</f>
        <v>30.10.2011</v>
      </c>
      <c r="C2779" t="str">
        <f>"26.10.2011"</f>
        <v>26.10.2011</v>
      </c>
      <c r="D2779" t="str">
        <f>"18.543,00"</f>
        <v>18.543,00</v>
      </c>
      <c r="E2779" t="str">
        <f>"18.543,00"</f>
        <v>18.543,00</v>
      </c>
    </row>
    <row r="2782" spans="1:5" x14ac:dyDescent="0.25">
      <c r="A2782" t="str">
        <f>"650"</f>
        <v>650</v>
      </c>
      <c r="B2782" t="str">
        <f>"ACTIVA s.r.o. Praha 9"</f>
        <v>ACTIVA s.r.o. Praha 9</v>
      </c>
      <c r="C2782" t="str">
        <f>"48111198"</f>
        <v>48111198</v>
      </c>
    </row>
    <row r="2783" spans="1:5" x14ac:dyDescent="0.25">
      <c r="A2783" t="str">
        <f>"05.10.2011"</f>
        <v>05.10.2011</v>
      </c>
      <c r="B2783" t="str">
        <f>"18.10.2011"</f>
        <v>18.10.2011</v>
      </c>
      <c r="C2783" t="str">
        <f>"13.10.2011"</f>
        <v>13.10.2011</v>
      </c>
      <c r="D2783" t="str">
        <f>"6.991,00"</f>
        <v>6.991,00</v>
      </c>
      <c r="E2783" t="str">
        <f>"6.991,00"</f>
        <v>6.991,00</v>
      </c>
    </row>
    <row r="2786" spans="1:5" x14ac:dyDescent="0.25">
      <c r="A2786" t="str">
        <f>"651"</f>
        <v>651</v>
      </c>
      <c r="B2786" t="str">
        <f>"KONICA MINOLTA s.r.o."</f>
        <v>KONICA MINOLTA s.r.o.</v>
      </c>
      <c r="C2786" t="str">
        <f>"00176150"</f>
        <v>00176150</v>
      </c>
    </row>
    <row r="2787" spans="1:5" x14ac:dyDescent="0.25">
      <c r="A2787" t="str">
        <f>"05.10.2011"</f>
        <v>05.10.2011</v>
      </c>
      <c r="B2787" t="str">
        <f>"11.10.2011"</f>
        <v>11.10.2011</v>
      </c>
      <c r="C2787" t="str">
        <f>"11.10.2011"</f>
        <v>11.10.2011</v>
      </c>
      <c r="D2787" t="str">
        <f>"217,70"</f>
        <v>217,70</v>
      </c>
      <c r="E2787" t="str">
        <f>"217,70"</f>
        <v>217,70</v>
      </c>
    </row>
    <row r="2790" spans="1:5" x14ac:dyDescent="0.25">
      <c r="A2790" t="str">
        <f>"652"</f>
        <v>652</v>
      </c>
      <c r="B2790" t="str">
        <f>"KONICA MINOLTA s.r.o."</f>
        <v>KONICA MINOLTA s.r.o.</v>
      </c>
      <c r="C2790" t="str">
        <f>"00176150"</f>
        <v>00176150</v>
      </c>
    </row>
    <row r="2791" spans="1:5" x14ac:dyDescent="0.25">
      <c r="A2791" t="str">
        <f>"05.10.2011"</f>
        <v>05.10.2011</v>
      </c>
      <c r="B2791" t="str">
        <f>"11.10.2011"</f>
        <v>11.10.2011</v>
      </c>
      <c r="C2791" t="str">
        <f>"11.10.2011"</f>
        <v>11.10.2011</v>
      </c>
      <c r="D2791" t="str">
        <f>"2.711,90"</f>
        <v>2.711,90</v>
      </c>
      <c r="E2791" t="str">
        <f>"2.711,90"</f>
        <v>2.711,90</v>
      </c>
    </row>
    <row r="2794" spans="1:5" x14ac:dyDescent="0.25">
      <c r="A2794" t="str">
        <f>"653"</f>
        <v>653</v>
      </c>
      <c r="B2794" t="str">
        <f>"KONICA MINOLTA s.r.o."</f>
        <v>KONICA MINOLTA s.r.o.</v>
      </c>
      <c r="C2794" t="str">
        <f>"00176150"</f>
        <v>00176150</v>
      </c>
    </row>
    <row r="2795" spans="1:5" x14ac:dyDescent="0.25">
      <c r="A2795" t="str">
        <f>"05.10.2011"</f>
        <v>05.10.2011</v>
      </c>
      <c r="B2795" t="str">
        <f>"11.10.2011"</f>
        <v>11.10.2011</v>
      </c>
      <c r="C2795" t="str">
        <f>"11.10.2011"</f>
        <v>11.10.2011</v>
      </c>
      <c r="D2795" t="str">
        <f>"3.880,00"</f>
        <v>3.880,00</v>
      </c>
      <c r="E2795" t="str">
        <f>"3.880,00"</f>
        <v>3.880,00</v>
      </c>
    </row>
    <row r="2798" spans="1:5" x14ac:dyDescent="0.25">
      <c r="A2798" t="str">
        <f>"654"</f>
        <v>654</v>
      </c>
      <c r="B2798" t="str">
        <f>"KONICA MINOLTA s.r.o."</f>
        <v>KONICA MINOLTA s.r.o.</v>
      </c>
      <c r="C2798" t="str">
        <f>"00176150"</f>
        <v>00176150</v>
      </c>
    </row>
    <row r="2799" spans="1:5" x14ac:dyDescent="0.25">
      <c r="A2799" t="str">
        <f>"05.10.2011"</f>
        <v>05.10.2011</v>
      </c>
      <c r="B2799" t="str">
        <f>"11.10.2011"</f>
        <v>11.10.2011</v>
      </c>
      <c r="C2799" t="str">
        <f>"11.10.2011"</f>
        <v>11.10.2011</v>
      </c>
      <c r="D2799" t="str">
        <f>"11.405,30"</f>
        <v>11.405,30</v>
      </c>
      <c r="E2799" t="str">
        <f>"11.405,30"</f>
        <v>11.405,30</v>
      </c>
    </row>
    <row r="2802" spans="1:5" x14ac:dyDescent="0.25">
      <c r="A2802" t="str">
        <f>"655"</f>
        <v>655</v>
      </c>
      <c r="B2802" t="str">
        <f>"Elektro Legát  s.r.o."</f>
        <v>Elektro Legát  s.r.o.</v>
      </c>
      <c r="C2802" t="str">
        <f>"25162721"</f>
        <v>25162721</v>
      </c>
    </row>
    <row r="2803" spans="1:5" x14ac:dyDescent="0.25">
      <c r="A2803" t="str">
        <f>"06.10.2011"</f>
        <v>06.10.2011</v>
      </c>
      <c r="B2803" t="str">
        <f>"19.10.2011"</f>
        <v>19.10.2011</v>
      </c>
      <c r="C2803" t="str">
        <f>"13.10.2011"</f>
        <v>13.10.2011</v>
      </c>
      <c r="D2803" t="str">
        <f>"29.954,00"</f>
        <v>29.954,00</v>
      </c>
      <c r="E2803" t="str">
        <f>"29.954,00"</f>
        <v>29.954,00</v>
      </c>
    </row>
    <row r="2806" spans="1:5" x14ac:dyDescent="0.25">
      <c r="A2806" t="str">
        <f>"656"</f>
        <v>656</v>
      </c>
      <c r="B2806" t="str">
        <f>"Česká pošta, s.p. Praha"</f>
        <v>Česká pošta, s.p. Praha</v>
      </c>
      <c r="C2806" t="str">
        <f>"47114983"</f>
        <v>47114983</v>
      </c>
    </row>
    <row r="2807" spans="1:5" x14ac:dyDescent="0.25">
      <c r="A2807" t="str">
        <f>"06.10.2011"</f>
        <v>06.10.2011</v>
      </c>
      <c r="B2807" t="str">
        <f>"18.10.2011"</f>
        <v>18.10.2011</v>
      </c>
      <c r="C2807" t="str">
        <f>"13.10.2011"</f>
        <v>13.10.2011</v>
      </c>
      <c r="D2807" t="str">
        <f>"278,40"</f>
        <v>278,40</v>
      </c>
      <c r="E2807" t="str">
        <f>"278,40"</f>
        <v>278,40</v>
      </c>
    </row>
    <row r="2810" spans="1:5" x14ac:dyDescent="0.25">
      <c r="A2810" t="str">
        <f>"657"</f>
        <v>657</v>
      </c>
      <c r="B2810" t="str">
        <f>"Česká pošta, s.p. Praha"</f>
        <v>Česká pošta, s.p. Praha</v>
      </c>
      <c r="C2810" t="str">
        <f>"47114983"</f>
        <v>47114983</v>
      </c>
    </row>
    <row r="2811" spans="1:5" x14ac:dyDescent="0.25">
      <c r="A2811" t="str">
        <f>"06.10.2011"</f>
        <v>06.10.2011</v>
      </c>
      <c r="B2811" t="str">
        <f>"18.10.2011"</f>
        <v>18.10.2011</v>
      </c>
      <c r="C2811" t="str">
        <f>"13.10.2011"</f>
        <v>13.10.2011</v>
      </c>
      <c r="D2811" t="str">
        <f>"396,00"</f>
        <v>396,00</v>
      </c>
      <c r="E2811" t="str">
        <f>"396,00"</f>
        <v>396,00</v>
      </c>
    </row>
    <row r="2814" spans="1:5" x14ac:dyDescent="0.25">
      <c r="A2814" t="str">
        <f>"658"</f>
        <v>658</v>
      </c>
      <c r="B2814" t="str">
        <f>"GEOVAP s.r.o. Pardubice"</f>
        <v>GEOVAP s.r.o. Pardubice</v>
      </c>
      <c r="C2814" t="str">
        <f>"15049248"</f>
        <v>15049248</v>
      </c>
    </row>
    <row r="2815" spans="1:5" x14ac:dyDescent="0.25">
      <c r="A2815" t="str">
        <f>"06.10.2011"</f>
        <v>06.10.2011</v>
      </c>
      <c r="B2815" t="str">
        <f>"19.10.2011"</f>
        <v>19.10.2011</v>
      </c>
      <c r="C2815" t="str">
        <f>"13.10.2011"</f>
        <v>13.10.2011</v>
      </c>
      <c r="D2815" t="str">
        <f>"2.000,00"</f>
        <v>2.000,00</v>
      </c>
      <c r="E2815" t="str">
        <f>"2.000,00"</f>
        <v>2.000,00</v>
      </c>
    </row>
    <row r="2818" spans="1:5" x14ac:dyDescent="0.25">
      <c r="A2818" t="str">
        <f>"659"</f>
        <v>659</v>
      </c>
      <c r="B2818" t="str">
        <f>"GEOVAP s.r.o. Pardubice"</f>
        <v>GEOVAP s.r.o. Pardubice</v>
      </c>
      <c r="C2818" t="str">
        <f>"15049248"</f>
        <v>15049248</v>
      </c>
    </row>
    <row r="2819" spans="1:5" x14ac:dyDescent="0.25">
      <c r="A2819" t="str">
        <f>"06.10.2011"</f>
        <v>06.10.2011</v>
      </c>
      <c r="B2819" t="str">
        <f>"19.10.2011"</f>
        <v>19.10.2011</v>
      </c>
      <c r="C2819" t="str">
        <f>"13.10.2011"</f>
        <v>13.10.2011</v>
      </c>
      <c r="D2819" t="str">
        <f>"5.010,00"</f>
        <v>5.010,00</v>
      </c>
      <c r="E2819" t="str">
        <f>"5.010,00"</f>
        <v>5.010,00</v>
      </c>
    </row>
    <row r="2821" spans="1:5" x14ac:dyDescent="0.25">
      <c r="A2821" t="str">
        <f>"Poř.č.fak."</f>
        <v>Poř.č.fak.</v>
      </c>
      <c r="B2821" t="str">
        <f>"Dodavatel"</f>
        <v>Dodavatel</v>
      </c>
      <c r="C2821" t="str">
        <f>"IČO"</f>
        <v>IČO</v>
      </c>
    </row>
    <row r="2822" spans="1:5" x14ac:dyDescent="0.25">
      <c r="A2822" t="str">
        <f>"Došla"</f>
        <v>Došla</v>
      </c>
      <c r="B2822" t="str">
        <f>"Splatná"</f>
        <v>Splatná</v>
      </c>
      <c r="C2822" t="str">
        <f>"Zaplacená"</f>
        <v>Zaplacená</v>
      </c>
      <c r="D2822" t="str">
        <f>"Fakt.částka"</f>
        <v>Fakt.částka</v>
      </c>
      <c r="E2822" t="str">
        <f>"Celk.zaplaceno"</f>
        <v>Celk.zaplaceno</v>
      </c>
    </row>
    <row r="2823" spans="1:5" x14ac:dyDescent="0.25">
      <c r="B2823" t="str">
        <f>"Poznámka"</f>
        <v>Poznámka</v>
      </c>
    </row>
    <row r="2824" spans="1:5" x14ac:dyDescent="0.25">
      <c r="A2824" t="str">
        <f>"**********"</f>
        <v>**********</v>
      </c>
      <c r="B2824" t="str">
        <f>"**************************"</f>
        <v>**************************</v>
      </c>
      <c r="C2824" t="str">
        <f>"***********"</f>
        <v>***********</v>
      </c>
      <c r="D2824" t="str">
        <f>"***************"</f>
        <v>***************</v>
      </c>
      <c r="E2824" t="str">
        <f>"***************"</f>
        <v>***************</v>
      </c>
    </row>
    <row r="2826" spans="1:5" x14ac:dyDescent="0.25">
      <c r="A2826" t="str">
        <f>"660"</f>
        <v>660</v>
      </c>
      <c r="B2826" t="str">
        <f>"ČEVAK a.s. Č.Budějovice"</f>
        <v>ČEVAK a.s. Č.Budějovice</v>
      </c>
      <c r="C2826" t="str">
        <f>"60849657"</f>
        <v>60849657</v>
      </c>
    </row>
    <row r="2827" spans="1:5" x14ac:dyDescent="0.25">
      <c r="A2827" t="str">
        <f>"06.10.2011"</f>
        <v>06.10.2011</v>
      </c>
      <c r="B2827" t="str">
        <f>"18.10.2011"</f>
        <v>18.10.2011</v>
      </c>
      <c r="C2827" t="str">
        <f>"13.10.2011"</f>
        <v>13.10.2011</v>
      </c>
      <c r="D2827" t="str">
        <f>"1.437,00"</f>
        <v>1.437,00</v>
      </c>
      <c r="E2827" t="str">
        <f>"1.437,00"</f>
        <v>1.437,00</v>
      </c>
    </row>
    <row r="2830" spans="1:5" x14ac:dyDescent="0.25">
      <c r="A2830" t="str">
        <f>"661"</f>
        <v>661</v>
      </c>
      <c r="B2830" t="str">
        <f>"RUMPOLD s.r.o. Tábor"</f>
        <v>RUMPOLD s.r.o. Tábor</v>
      </c>
      <c r="C2830" t="str">
        <f>"61459364"</f>
        <v>61459364</v>
      </c>
    </row>
    <row r="2831" spans="1:5" x14ac:dyDescent="0.25">
      <c r="A2831" t="str">
        <f>"06.10.2011"</f>
        <v>06.10.2011</v>
      </c>
      <c r="B2831" t="str">
        <f>"20.10.2011"</f>
        <v>20.10.2011</v>
      </c>
      <c r="C2831" t="str">
        <f>"18.10.2011"</f>
        <v>18.10.2011</v>
      </c>
      <c r="D2831" t="str">
        <f>"111.406,63"</f>
        <v>111.406,63</v>
      </c>
      <c r="E2831" t="str">
        <f>"111.406,63"</f>
        <v>111.406,63</v>
      </c>
    </row>
    <row r="2834" spans="1:5" x14ac:dyDescent="0.25">
      <c r="A2834" t="str">
        <f>"662"</f>
        <v>662</v>
      </c>
      <c r="B2834" t="str">
        <f>"RUMPOLD s.r.o. Tábor"</f>
        <v>RUMPOLD s.r.o. Tábor</v>
      </c>
      <c r="C2834" t="str">
        <f>"61459364"</f>
        <v>61459364</v>
      </c>
    </row>
    <row r="2835" spans="1:5" x14ac:dyDescent="0.25">
      <c r="A2835" t="str">
        <f>"06.10.2011"</f>
        <v>06.10.2011</v>
      </c>
      <c r="B2835" t="str">
        <f>"20.10.2011"</f>
        <v>20.10.2011</v>
      </c>
      <c r="C2835" t="str">
        <f>"18.10.2011"</f>
        <v>18.10.2011</v>
      </c>
      <c r="D2835" t="str">
        <f>"950.443,80"</f>
        <v>950.443,80</v>
      </c>
      <c r="E2835" t="str">
        <f>"950.443,80"</f>
        <v>950.443,80</v>
      </c>
    </row>
    <row r="2838" spans="1:5" x14ac:dyDescent="0.25">
      <c r="A2838" t="str">
        <f>"663"</f>
        <v>663</v>
      </c>
      <c r="B2838" t="str">
        <f>"Jihočeský kraj Č.B."</f>
        <v>Jihočeský kraj Č.B.</v>
      </c>
      <c r="C2838" t="str">
        <f>"70890650"</f>
        <v>70890650</v>
      </c>
    </row>
    <row r="2839" spans="1:5" x14ac:dyDescent="0.25">
      <c r="A2839" t="str">
        <f>"07.10.2011"</f>
        <v>07.10.2011</v>
      </c>
      <c r="B2839" t="str">
        <f>"21.10.2011"</f>
        <v>21.10.2011</v>
      </c>
      <c r="C2839" t="str">
        <f>"19.10.2011"</f>
        <v>19.10.2011</v>
      </c>
      <c r="D2839" t="str">
        <f>"1.000,00"</f>
        <v>1.000,00</v>
      </c>
      <c r="E2839" t="str">
        <f>"1.000,00"</f>
        <v>1.000,00</v>
      </c>
    </row>
    <row r="2842" spans="1:5" x14ac:dyDescent="0.25">
      <c r="A2842" t="str">
        <f>"664"</f>
        <v>664</v>
      </c>
      <c r="B2842" t="str">
        <f>"BENZINA ,s.r.o. Praha 4"</f>
        <v>BENZINA ,s.r.o. Praha 4</v>
      </c>
      <c r="C2842" t="str">
        <f>"60193328"</f>
        <v>60193328</v>
      </c>
    </row>
    <row r="2843" spans="1:5" x14ac:dyDescent="0.25">
      <c r="A2843" t="str">
        <f>"07.10.2011"</f>
        <v>07.10.2011</v>
      </c>
      <c r="B2843" t="str">
        <f>"07.10.2011"</f>
        <v>07.10.2011</v>
      </c>
      <c r="C2843" t="str">
        <f>"07.10.2011"</f>
        <v>07.10.2011</v>
      </c>
      <c r="D2843" t="str">
        <f>"16.983,93"</f>
        <v>16.983,93</v>
      </c>
      <c r="E2843" t="str">
        <f>"16.983,93"</f>
        <v>16.983,93</v>
      </c>
    </row>
    <row r="2846" spans="1:5" x14ac:dyDescent="0.25">
      <c r="A2846" t="str">
        <f>"665"</f>
        <v>665</v>
      </c>
      <c r="B2846" t="str">
        <f>"Ivan Bělohlav Klenovice"</f>
        <v>Ivan Bělohlav Klenovice</v>
      </c>
      <c r="C2846" t="str">
        <f>"13521951"</f>
        <v>13521951</v>
      </c>
    </row>
    <row r="2847" spans="1:5" x14ac:dyDescent="0.25">
      <c r="A2847" t="str">
        <f>"07.10.2011"</f>
        <v>07.10.2011</v>
      </c>
      <c r="B2847" t="str">
        <f>"15.10.2011"</f>
        <v>15.10.2011</v>
      </c>
      <c r="C2847" t="str">
        <f>"12.10.2011"</f>
        <v>12.10.2011</v>
      </c>
      <c r="D2847" t="str">
        <f>"48.478,00"</f>
        <v>48.478,00</v>
      </c>
      <c r="E2847" t="str">
        <f>"48.478,00"</f>
        <v>48.478,00</v>
      </c>
    </row>
    <row r="2850" spans="1:5" x14ac:dyDescent="0.25">
      <c r="A2850" t="str">
        <f>"666"</f>
        <v>666</v>
      </c>
      <c r="B2850" t="str">
        <f>"TEPO-LD s.r.o. Soběslav"</f>
        <v>TEPO-LD s.r.o. Soběslav</v>
      </c>
      <c r="C2850" t="str">
        <f>"26113848"</f>
        <v>26113848</v>
      </c>
    </row>
    <row r="2851" spans="1:5" x14ac:dyDescent="0.25">
      <c r="A2851" t="str">
        <f>"07.10.2011"</f>
        <v>07.10.2011</v>
      </c>
      <c r="B2851" t="str">
        <f>"19.10.2011"</f>
        <v>19.10.2011</v>
      </c>
      <c r="C2851" t="str">
        <f>"13.10.2011"</f>
        <v>13.10.2011</v>
      </c>
      <c r="D2851" t="str">
        <f>"164.109,00"</f>
        <v>164.109,00</v>
      </c>
      <c r="E2851" t="str">
        <f>"164.109,00"</f>
        <v>164.109,00</v>
      </c>
    </row>
    <row r="2854" spans="1:5" x14ac:dyDescent="0.25">
      <c r="A2854" t="str">
        <f>"667"</f>
        <v>667</v>
      </c>
      <c r="B2854" t="str">
        <f>"Hajný-T s.r.o."</f>
        <v>Hajný-T s.r.o.</v>
      </c>
      <c r="C2854" t="str">
        <f>"63886839"</f>
        <v>63886839</v>
      </c>
    </row>
    <row r="2855" spans="1:5" x14ac:dyDescent="0.25">
      <c r="A2855" t="str">
        <f>"07.10.2011"</f>
        <v>07.10.2011</v>
      </c>
      <c r="B2855" t="str">
        <f>"21.10.2011"</f>
        <v>21.10.2011</v>
      </c>
      <c r="C2855" t="str">
        <f>"19.10.2011"</f>
        <v>19.10.2011</v>
      </c>
      <c r="D2855" t="str">
        <f>"2.886,00"</f>
        <v>2.886,00</v>
      </c>
      <c r="E2855" t="str">
        <f>"2.886,00"</f>
        <v>2.886,00</v>
      </c>
    </row>
    <row r="2858" spans="1:5" x14ac:dyDescent="0.25">
      <c r="A2858" t="str">
        <f>"668"</f>
        <v>668</v>
      </c>
      <c r="B2858" t="str">
        <f>"Telefónica 02 CR, a.s."</f>
        <v>Telefónica 02 CR, a.s.</v>
      </c>
      <c r="C2858" t="str">
        <f>"60193336"</f>
        <v>60193336</v>
      </c>
    </row>
    <row r="2859" spans="1:5" x14ac:dyDescent="0.25">
      <c r="A2859" t="str">
        <f>"10.10.2011"</f>
        <v>10.10.2011</v>
      </c>
      <c r="B2859" t="str">
        <f>"18.10.2011"</f>
        <v>18.10.2011</v>
      </c>
      <c r="C2859" t="str">
        <f>"14.10.2011"</f>
        <v>14.10.2011</v>
      </c>
      <c r="D2859" t="str">
        <f>"38,82"</f>
        <v>38,82</v>
      </c>
      <c r="E2859" t="str">
        <f>"38,82"</f>
        <v>38,82</v>
      </c>
    </row>
    <row r="2862" spans="1:5" x14ac:dyDescent="0.25">
      <c r="A2862" t="str">
        <f>"669"</f>
        <v>669</v>
      </c>
      <c r="B2862" t="str">
        <f>"Jiří Polák Tábor"</f>
        <v>Jiří Polák Tábor</v>
      </c>
      <c r="C2862" t="str">
        <f>"74560425"</f>
        <v>74560425</v>
      </c>
    </row>
    <row r="2863" spans="1:5" x14ac:dyDescent="0.25">
      <c r="A2863" t="str">
        <f>"10.10.2011"</f>
        <v>10.10.2011</v>
      </c>
      <c r="B2863" t="str">
        <f>"17.10.2011"</f>
        <v>17.10.2011</v>
      </c>
      <c r="C2863" t="str">
        <f>"14.10.2011"</f>
        <v>14.10.2011</v>
      </c>
      <c r="D2863" t="str">
        <f>"4.850,00"</f>
        <v>4.850,00</v>
      </c>
      <c r="E2863" t="str">
        <f>"4.850,00"</f>
        <v>4.850,00</v>
      </c>
    </row>
    <row r="2866" spans="1:5" x14ac:dyDescent="0.25">
      <c r="A2866" t="str">
        <f>"670"</f>
        <v>670</v>
      </c>
      <c r="B2866" t="str">
        <f>"Telefónica 02 CR a.s."</f>
        <v>Telefónica 02 CR a.s.</v>
      </c>
      <c r="C2866" t="str">
        <f>"60193336"</f>
        <v>60193336</v>
      </c>
    </row>
    <row r="2867" spans="1:5" x14ac:dyDescent="0.25">
      <c r="A2867" t="str">
        <f>"10.10.2011"</f>
        <v>10.10.2011</v>
      </c>
      <c r="B2867" t="str">
        <f>"18.10.2011"</f>
        <v>18.10.2011</v>
      </c>
      <c r="C2867" t="str">
        <f>"14.10.2011"</f>
        <v>14.10.2011</v>
      </c>
      <c r="D2867" t="str">
        <f>"1,20"</f>
        <v>1,20</v>
      </c>
      <c r="E2867" t="str">
        <f>"1,20"</f>
        <v>1,20</v>
      </c>
    </row>
    <row r="2870" spans="1:5" x14ac:dyDescent="0.25">
      <c r="A2870" t="str">
        <f>"671"</f>
        <v>671</v>
      </c>
      <c r="B2870" t="str">
        <f>"Telefónica 02 CR a.s."</f>
        <v>Telefónica 02 CR a.s.</v>
      </c>
      <c r="C2870" t="str">
        <f>"60193336"</f>
        <v>60193336</v>
      </c>
    </row>
    <row r="2871" spans="1:5" x14ac:dyDescent="0.25">
      <c r="A2871" t="str">
        <f>"10.10.2011"</f>
        <v>10.10.2011</v>
      </c>
      <c r="B2871" t="str">
        <f>"18.10.2011"</f>
        <v>18.10.2011</v>
      </c>
      <c r="C2871" t="str">
        <f>"14.10.2011"</f>
        <v>14.10.2011</v>
      </c>
      <c r="D2871" t="str">
        <f>"3.683,22"</f>
        <v>3.683,22</v>
      </c>
      <c r="E2871" t="str">
        <f>"3.683,22"</f>
        <v>3.683,22</v>
      </c>
    </row>
    <row r="2874" spans="1:5" x14ac:dyDescent="0.25">
      <c r="A2874" t="str">
        <f>"672"</f>
        <v>672</v>
      </c>
      <c r="B2874" t="str">
        <f>"Telefónica 02 CR a.s."</f>
        <v>Telefónica 02 CR a.s.</v>
      </c>
      <c r="C2874" t="str">
        <f>"60193336"</f>
        <v>60193336</v>
      </c>
    </row>
    <row r="2875" spans="1:5" x14ac:dyDescent="0.25">
      <c r="A2875" t="str">
        <f>"10.10.2011"</f>
        <v>10.10.2011</v>
      </c>
      <c r="B2875" t="str">
        <f>"18.10.2011"</f>
        <v>18.10.2011</v>
      </c>
      <c r="C2875" t="str">
        <f>"14.10.2011"</f>
        <v>14.10.2011</v>
      </c>
      <c r="D2875" t="str">
        <f>"596,41"</f>
        <v>596,41</v>
      </c>
      <c r="E2875" t="str">
        <f>"596,41"</f>
        <v>596,41</v>
      </c>
    </row>
    <row r="2878" spans="1:5" x14ac:dyDescent="0.25">
      <c r="A2878" t="str">
        <f>"673"</f>
        <v>673</v>
      </c>
      <c r="B2878" t="str">
        <f>"Česká pošta ,s.p. Praha 1"</f>
        <v>Česká pošta ,s.p. Praha 1</v>
      </c>
      <c r="C2878" t="str">
        <f>"47114983"</f>
        <v>47114983</v>
      </c>
    </row>
    <row r="2879" spans="1:5" x14ac:dyDescent="0.25">
      <c r="A2879" t="str">
        <f>"10.10.2011"</f>
        <v>10.10.2011</v>
      </c>
      <c r="B2879" t="str">
        <f>"19.10.2011"</f>
        <v>19.10.2011</v>
      </c>
      <c r="C2879" t="str">
        <f>"18.10.2011"</f>
        <v>18.10.2011</v>
      </c>
      <c r="D2879" t="str">
        <f>"47.023,00"</f>
        <v>47.023,00</v>
      </c>
      <c r="E2879" t="str">
        <f>"47.023,00"</f>
        <v>47.023,00</v>
      </c>
    </row>
    <row r="2881" spans="1:5" x14ac:dyDescent="0.25">
      <c r="A2881" t="str">
        <f>"Poř.č.fak."</f>
        <v>Poř.č.fak.</v>
      </c>
      <c r="B2881" t="str">
        <f>"Dodavatel"</f>
        <v>Dodavatel</v>
      </c>
      <c r="C2881" t="str">
        <f>"IČO"</f>
        <v>IČO</v>
      </c>
    </row>
    <row r="2882" spans="1:5" x14ac:dyDescent="0.25">
      <c r="A2882" t="str">
        <f>"Došla"</f>
        <v>Došla</v>
      </c>
      <c r="B2882" t="str">
        <f>"Splatná"</f>
        <v>Splatná</v>
      </c>
      <c r="C2882" t="str">
        <f>"Zaplacená"</f>
        <v>Zaplacená</v>
      </c>
      <c r="D2882" t="str">
        <f>"Fakt.částka"</f>
        <v>Fakt.částka</v>
      </c>
      <c r="E2882" t="str">
        <f>"Celk.zaplaceno"</f>
        <v>Celk.zaplaceno</v>
      </c>
    </row>
    <row r="2883" spans="1:5" x14ac:dyDescent="0.25">
      <c r="B2883" t="str">
        <f>"Poznámka"</f>
        <v>Poznámka</v>
      </c>
    </row>
    <row r="2884" spans="1:5" x14ac:dyDescent="0.25">
      <c r="A2884" t="str">
        <f>"**********"</f>
        <v>**********</v>
      </c>
      <c r="B2884" t="str">
        <f>"**************************"</f>
        <v>**************************</v>
      </c>
      <c r="C2884" t="str">
        <f>"***********"</f>
        <v>***********</v>
      </c>
      <c r="D2884" t="str">
        <f>"***************"</f>
        <v>***************</v>
      </c>
      <c r="E2884" t="str">
        <f>"***************"</f>
        <v>***************</v>
      </c>
    </row>
    <row r="2886" spans="1:5" x14ac:dyDescent="0.25">
      <c r="A2886" t="str">
        <f>"674"</f>
        <v>674</v>
      </c>
      <c r="B2886" t="str">
        <f>"Česká pošta ,s.p. Praha 1"</f>
        <v>Česká pošta ,s.p. Praha 1</v>
      </c>
      <c r="C2886" t="str">
        <f>"47114983"</f>
        <v>47114983</v>
      </c>
    </row>
    <row r="2887" spans="1:5" x14ac:dyDescent="0.25">
      <c r="A2887" t="str">
        <f>"10.10.2011"</f>
        <v>10.10.2011</v>
      </c>
      <c r="B2887" t="str">
        <f>"21.10.2011"</f>
        <v>21.10.2011</v>
      </c>
      <c r="C2887" t="str">
        <f>"19.10.2011"</f>
        <v>19.10.2011</v>
      </c>
      <c r="D2887" t="str">
        <f>"414,00"</f>
        <v>414,00</v>
      </c>
      <c r="E2887" t="str">
        <f>"414,00"</f>
        <v>414,00</v>
      </c>
    </row>
    <row r="2890" spans="1:5" x14ac:dyDescent="0.25">
      <c r="A2890" t="str">
        <f>"675"</f>
        <v>675</v>
      </c>
      <c r="B2890" t="str">
        <f>"Telefónica 02 CR, a.s."</f>
        <v>Telefónica 02 CR, a.s.</v>
      </c>
      <c r="C2890" t="str">
        <f>"60193336"</f>
        <v>60193336</v>
      </c>
    </row>
    <row r="2891" spans="1:5" x14ac:dyDescent="0.25">
      <c r="A2891" t="str">
        <f>"10.10.2011"</f>
        <v>10.10.2011</v>
      </c>
      <c r="B2891" t="str">
        <f>"14.10.2011"</f>
        <v>14.10.2011</v>
      </c>
      <c r="C2891" t="str">
        <f>"14.10.2011"</f>
        <v>14.10.2011</v>
      </c>
      <c r="D2891" t="str">
        <f>"20.674,28"</f>
        <v>20.674,28</v>
      </c>
      <c r="E2891" t="str">
        <f>"20.674,28"</f>
        <v>20.674,28</v>
      </c>
    </row>
    <row r="2894" spans="1:5" x14ac:dyDescent="0.25">
      <c r="A2894" t="str">
        <f>"676"</f>
        <v>676</v>
      </c>
      <c r="B2894" t="str">
        <f>"Správa města Soběslavi"</f>
        <v>Správa města Soběslavi</v>
      </c>
      <c r="C2894" t="str">
        <f>"26029987"</f>
        <v>26029987</v>
      </c>
    </row>
    <row r="2895" spans="1:5" x14ac:dyDescent="0.25">
      <c r="A2895" t="str">
        <f>"10.10.2011"</f>
        <v>10.10.2011</v>
      </c>
      <c r="B2895" t="str">
        <f>"21.10.2011"</f>
        <v>21.10.2011</v>
      </c>
      <c r="C2895" t="str">
        <f>"19.10.2011"</f>
        <v>19.10.2011</v>
      </c>
      <c r="D2895" t="str">
        <f>"940.000,00"</f>
        <v>940.000,00</v>
      </c>
      <c r="E2895" t="str">
        <f>"940.000,00"</f>
        <v>940.000,00</v>
      </c>
    </row>
    <row r="2898" spans="1:5" x14ac:dyDescent="0.25">
      <c r="A2898" t="str">
        <f>"677"</f>
        <v>677</v>
      </c>
      <c r="B2898" t="str">
        <f>"IN-GASTRO,s.r.o. Tábor"</f>
        <v>IN-GASTRO,s.r.o. Tábor</v>
      </c>
      <c r="C2898" t="str">
        <f>"26098938"</f>
        <v>26098938</v>
      </c>
    </row>
    <row r="2899" spans="1:5" x14ac:dyDescent="0.25">
      <c r="A2899" t="str">
        <f>"11.10.2011"</f>
        <v>11.10.2011</v>
      </c>
      <c r="B2899" t="str">
        <f>"12.10.2011"</f>
        <v>12.10.2011</v>
      </c>
      <c r="C2899" t="str">
        <f>"14.10.2011"</f>
        <v>14.10.2011</v>
      </c>
      <c r="D2899" t="str">
        <f>"46.080,00"</f>
        <v>46.080,00</v>
      </c>
      <c r="E2899" t="str">
        <f>"46.080,00"</f>
        <v>46.080,00</v>
      </c>
    </row>
    <row r="2902" spans="1:5" x14ac:dyDescent="0.25">
      <c r="A2902" t="str">
        <f>"678"</f>
        <v>678</v>
      </c>
      <c r="B2902" t="str">
        <f>"Elektro Novák Soběslav"</f>
        <v>Elektro Novák Soběslav</v>
      </c>
      <c r="C2902" t="str">
        <f>"25199935"</f>
        <v>25199935</v>
      </c>
    </row>
    <row r="2903" spans="1:5" x14ac:dyDescent="0.25">
      <c r="A2903" t="str">
        <f>"11.10.2011"</f>
        <v>11.10.2011</v>
      </c>
      <c r="B2903" t="str">
        <f>"17.10.2011"</f>
        <v>17.10.2011</v>
      </c>
      <c r="C2903" t="str">
        <f>"14.10.2011"</f>
        <v>14.10.2011</v>
      </c>
      <c r="D2903" t="str">
        <f>"52.764,00"</f>
        <v>52.764,00</v>
      </c>
      <c r="E2903" t="str">
        <f>"52.764,00"</f>
        <v>52.764,00</v>
      </c>
    </row>
    <row r="2906" spans="1:5" x14ac:dyDescent="0.25">
      <c r="A2906" t="str">
        <f>"679"</f>
        <v>679</v>
      </c>
      <c r="B2906" t="str">
        <f>"Mladá fronta a.s. Praha 4"</f>
        <v>Mladá fronta a.s. Praha 4</v>
      </c>
      <c r="C2906" t="str">
        <f>"49240315"</f>
        <v>49240315</v>
      </c>
    </row>
    <row r="2907" spans="1:5" x14ac:dyDescent="0.25">
      <c r="A2907" t="str">
        <f>"11.10.2011"</f>
        <v>11.10.2011</v>
      </c>
      <c r="B2907" t="str">
        <f>"24.10.2011"</f>
        <v>24.10.2011</v>
      </c>
      <c r="C2907" t="str">
        <f>"19.10.2011"</f>
        <v>19.10.2011</v>
      </c>
      <c r="D2907" t="str">
        <f>"1.424,00"</f>
        <v>1.424,00</v>
      </c>
      <c r="E2907" t="str">
        <f>"1.424,00"</f>
        <v>1.424,00</v>
      </c>
    </row>
    <row r="2910" spans="1:5" x14ac:dyDescent="0.25">
      <c r="A2910" t="str">
        <f>"680"</f>
        <v>680</v>
      </c>
      <c r="B2910" t="str">
        <f>"APSS ČR Tábor"</f>
        <v>APSS ČR Tábor</v>
      </c>
      <c r="C2910" t="str">
        <f>"60445831"</f>
        <v>60445831</v>
      </c>
    </row>
    <row r="2911" spans="1:5" x14ac:dyDescent="0.25">
      <c r="A2911" t="str">
        <f>"12.10.2011"</f>
        <v>12.10.2011</v>
      </c>
      <c r="B2911" t="str">
        <f>"10.10.2011"</f>
        <v>10.10.2011</v>
      </c>
      <c r="C2911" t="str">
        <f>"14.10.2011"</f>
        <v>14.10.2011</v>
      </c>
      <c r="D2911" t="str">
        <f>"790,00"</f>
        <v>790,00</v>
      </c>
      <c r="E2911" t="str">
        <f>"790,00"</f>
        <v>790,00</v>
      </c>
    </row>
    <row r="2914" spans="1:5" x14ac:dyDescent="0.25">
      <c r="A2914" t="str">
        <f>"681"</f>
        <v>681</v>
      </c>
      <c r="B2914" t="str">
        <f>"KONICA MINOLTA s.r.o."</f>
        <v>KONICA MINOLTA s.r.o.</v>
      </c>
      <c r="C2914" t="str">
        <f>"00176150"</f>
        <v>00176150</v>
      </c>
    </row>
    <row r="2915" spans="1:5" x14ac:dyDescent="0.25">
      <c r="A2915" t="str">
        <f>"12.10.2011"</f>
        <v>12.10.2011</v>
      </c>
      <c r="B2915" t="str">
        <f>"18.10.2011"</f>
        <v>18.10.2011</v>
      </c>
      <c r="C2915" t="str">
        <f>"14.10.2011"</f>
        <v>14.10.2011</v>
      </c>
      <c r="D2915" t="str">
        <f>"367,20"</f>
        <v>367,20</v>
      </c>
      <c r="E2915" t="str">
        <f>"367,20"</f>
        <v>367,20</v>
      </c>
    </row>
    <row r="2918" spans="1:5" x14ac:dyDescent="0.25">
      <c r="A2918" t="str">
        <f>"682"</f>
        <v>682</v>
      </c>
      <c r="B2918" t="str">
        <f>"KONICA MINOLTA s.r.o."</f>
        <v>KONICA MINOLTA s.r.o.</v>
      </c>
      <c r="C2918" t="str">
        <f>"00176150"</f>
        <v>00176150</v>
      </c>
    </row>
    <row r="2919" spans="1:5" x14ac:dyDescent="0.25">
      <c r="A2919" t="str">
        <f>"12.10.2011"</f>
        <v>12.10.2011</v>
      </c>
      <c r="B2919" t="str">
        <f>"18.10.2011"</f>
        <v>18.10.2011</v>
      </c>
      <c r="C2919" t="str">
        <f>"14.10.2011"</f>
        <v>14.10.2011</v>
      </c>
      <c r="D2919" t="str">
        <f>"1.729,70"</f>
        <v>1.729,70</v>
      </c>
      <c r="E2919" t="str">
        <f>"1.729,70"</f>
        <v>1.729,70</v>
      </c>
    </row>
    <row r="2922" spans="1:5" x14ac:dyDescent="0.25">
      <c r="A2922" t="str">
        <f>"683"</f>
        <v>683</v>
      </c>
      <c r="B2922" t="str">
        <f>"KONICA MINOLTA s.r.o."</f>
        <v>KONICA MINOLTA s.r.o.</v>
      </c>
      <c r="C2922" t="str">
        <f>"00176150"</f>
        <v>00176150</v>
      </c>
    </row>
    <row r="2923" spans="1:5" x14ac:dyDescent="0.25">
      <c r="A2923" t="str">
        <f>"12.10.2011"</f>
        <v>12.10.2011</v>
      </c>
      <c r="B2923" t="str">
        <f>"18.10.2011"</f>
        <v>18.10.2011</v>
      </c>
      <c r="C2923" t="str">
        <f>"14.10.2011"</f>
        <v>14.10.2011</v>
      </c>
      <c r="D2923" t="str">
        <f>"3.552,00"</f>
        <v>3.552,00</v>
      </c>
      <c r="E2923" t="str">
        <f>"3.552,00"</f>
        <v>3.552,00</v>
      </c>
    </row>
    <row r="2926" spans="1:5" x14ac:dyDescent="0.25">
      <c r="A2926" t="str">
        <f>"684"</f>
        <v>684</v>
      </c>
      <c r="B2926" t="str">
        <f>"JIHOSTAV s.r.o. Soběslav"</f>
        <v>JIHOSTAV s.r.o. Soběslav</v>
      </c>
      <c r="C2926" t="str">
        <f>"47239484"</f>
        <v>47239484</v>
      </c>
    </row>
    <row r="2927" spans="1:5" x14ac:dyDescent="0.25">
      <c r="A2927" t="str">
        <f>"12.10.2011"</f>
        <v>12.10.2011</v>
      </c>
      <c r="B2927" t="str">
        <f>"21.10.2011"</f>
        <v>21.10.2011</v>
      </c>
      <c r="C2927" t="str">
        <f>"19.10.2011"</f>
        <v>19.10.2011</v>
      </c>
      <c r="D2927" t="str">
        <f>"2.880,00"</f>
        <v>2.880,00</v>
      </c>
      <c r="E2927" t="str">
        <f>"2.880,00"</f>
        <v>2.880,00</v>
      </c>
    </row>
    <row r="2930" spans="1:5" x14ac:dyDescent="0.25">
      <c r="A2930" t="str">
        <f>"685"</f>
        <v>685</v>
      </c>
      <c r="B2930" t="str">
        <f>"TJ SPARTAK Soběslav"</f>
        <v>TJ SPARTAK Soběslav</v>
      </c>
      <c r="C2930" t="str">
        <f>"46632191"</f>
        <v>46632191</v>
      </c>
    </row>
    <row r="2931" spans="1:5" x14ac:dyDescent="0.25">
      <c r="A2931" t="str">
        <f>"12.10.2011"</f>
        <v>12.10.2011</v>
      </c>
      <c r="B2931" t="str">
        <f>"25.10.2011"</f>
        <v>25.10.2011</v>
      </c>
      <c r="C2931" t="str">
        <f>"21.10.2011"</f>
        <v>21.10.2011</v>
      </c>
      <c r="D2931" t="str">
        <f>"2.153,00"</f>
        <v>2.153,00</v>
      </c>
      <c r="E2931" t="str">
        <f>"2.153,00"</f>
        <v>2.153,00</v>
      </c>
    </row>
    <row r="2934" spans="1:5" x14ac:dyDescent="0.25">
      <c r="A2934" t="str">
        <f>"686"</f>
        <v>686</v>
      </c>
      <c r="B2934" t="str">
        <f>"Česká pošta, s.p. Praha"</f>
        <v>Česká pošta, s.p. Praha</v>
      </c>
      <c r="C2934" t="str">
        <f>"47114983"</f>
        <v>47114983</v>
      </c>
    </row>
    <row r="2935" spans="1:5" x14ac:dyDescent="0.25">
      <c r="A2935" t="str">
        <f>"12.10.2011"</f>
        <v>12.10.2011</v>
      </c>
      <c r="B2935" t="str">
        <f>"25.10.2011"</f>
        <v>25.10.2011</v>
      </c>
      <c r="C2935" t="str">
        <f>"21.10.2011"</f>
        <v>21.10.2011</v>
      </c>
      <c r="D2935" t="str">
        <f>"672,00"</f>
        <v>672,00</v>
      </c>
      <c r="E2935" t="str">
        <f>"672,00"</f>
        <v>672,00</v>
      </c>
    </row>
    <row r="2938" spans="1:5" x14ac:dyDescent="0.25">
      <c r="A2938" t="str">
        <f>"687"</f>
        <v>687</v>
      </c>
      <c r="B2938" t="str">
        <f>"Mareš Zbyněk Tábor"</f>
        <v>Mareš Zbyněk Tábor</v>
      </c>
      <c r="C2938" t="str">
        <f>"69541850"</f>
        <v>69541850</v>
      </c>
    </row>
    <row r="2939" spans="1:5" x14ac:dyDescent="0.25">
      <c r="A2939" t="str">
        <f>"12.10.2011"</f>
        <v>12.10.2011</v>
      </c>
      <c r="B2939" t="str">
        <f>"26.10.2011"</f>
        <v>26.10.2011</v>
      </c>
      <c r="C2939" t="str">
        <f>"21.10.2011"</f>
        <v>21.10.2011</v>
      </c>
      <c r="D2939" t="str">
        <f>"42.101,00"</f>
        <v>42.101,00</v>
      </c>
      <c r="E2939" t="str">
        <f>"42.101,00"</f>
        <v>42.101,00</v>
      </c>
    </row>
    <row r="2941" spans="1:5" x14ac:dyDescent="0.25">
      <c r="A2941" t="str">
        <f>"Poř.č.fak."</f>
        <v>Poř.č.fak.</v>
      </c>
      <c r="B2941" t="str">
        <f>"Dodavatel"</f>
        <v>Dodavatel</v>
      </c>
      <c r="C2941" t="str">
        <f>"IČO"</f>
        <v>IČO</v>
      </c>
    </row>
    <row r="2942" spans="1:5" x14ac:dyDescent="0.25">
      <c r="A2942" t="str">
        <f>"Došla"</f>
        <v>Došla</v>
      </c>
      <c r="B2942" t="str">
        <f>"Splatná"</f>
        <v>Splatná</v>
      </c>
      <c r="C2942" t="str">
        <f>"Zaplacená"</f>
        <v>Zaplacená</v>
      </c>
      <c r="D2942" t="str">
        <f>"Fakt.částka"</f>
        <v>Fakt.částka</v>
      </c>
      <c r="E2942" t="str">
        <f>"Celk.zaplaceno"</f>
        <v>Celk.zaplaceno</v>
      </c>
    </row>
    <row r="2943" spans="1:5" x14ac:dyDescent="0.25">
      <c r="B2943" t="str">
        <f>"Poznámka"</f>
        <v>Poznámka</v>
      </c>
    </row>
    <row r="2944" spans="1:5" x14ac:dyDescent="0.25">
      <c r="A2944" t="str">
        <f>"**********"</f>
        <v>**********</v>
      </c>
      <c r="B2944" t="str">
        <f>"**************************"</f>
        <v>**************************</v>
      </c>
      <c r="C2944" t="str">
        <f>"***********"</f>
        <v>***********</v>
      </c>
      <c r="D2944" t="str">
        <f>"***************"</f>
        <v>***************</v>
      </c>
      <c r="E2944" t="str">
        <f>"***************"</f>
        <v>***************</v>
      </c>
    </row>
    <row r="2946" spans="1:5" x14ac:dyDescent="0.25">
      <c r="A2946" t="str">
        <f>"688"</f>
        <v>688</v>
      </c>
      <c r="B2946" t="str">
        <f>"DCS Systems,s.r.o. Praha"</f>
        <v>DCS Systems,s.r.o. Praha</v>
      </c>
      <c r="C2946" t="str">
        <f>"26178842"</f>
        <v>26178842</v>
      </c>
    </row>
    <row r="2947" spans="1:5" x14ac:dyDescent="0.25">
      <c r="A2947" t="str">
        <f>"13.10.2011"</f>
        <v>13.10.2011</v>
      </c>
      <c r="B2947" t="str">
        <f>"11.10.2011"</f>
        <v>11.10.2011</v>
      </c>
      <c r="C2947" t="str">
        <f>"19.10.2011"</f>
        <v>19.10.2011</v>
      </c>
      <c r="D2947" t="str">
        <f>"1.200,00"</f>
        <v>1.200,00</v>
      </c>
      <c r="E2947" t="str">
        <f>"1.200,00"</f>
        <v>1.200,00</v>
      </c>
    </row>
    <row r="2950" spans="1:5" x14ac:dyDescent="0.25">
      <c r="A2950" t="str">
        <f>"689"</f>
        <v>689</v>
      </c>
      <c r="B2950" t="str">
        <f>"JIHOSTAV s.r.o. Soběslav"</f>
        <v>JIHOSTAV s.r.o. Soběslav</v>
      </c>
      <c r="C2950" t="str">
        <f>"47239484"</f>
        <v>47239484</v>
      </c>
    </row>
    <row r="2951" spans="1:5" x14ac:dyDescent="0.25">
      <c r="A2951" t="str">
        <f>"13.10.2011"</f>
        <v>13.10.2011</v>
      </c>
      <c r="B2951" t="str">
        <f>"21.10.2011"</f>
        <v>21.10.2011</v>
      </c>
      <c r="C2951" t="str">
        <f>"19.10.2011"</f>
        <v>19.10.2011</v>
      </c>
      <c r="D2951" t="str">
        <f>"4.320,00"</f>
        <v>4.320,00</v>
      </c>
      <c r="E2951" t="str">
        <f>"4.320,00"</f>
        <v>4.320,00</v>
      </c>
    </row>
    <row r="2954" spans="1:5" x14ac:dyDescent="0.25">
      <c r="A2954" t="str">
        <f>"690"</f>
        <v>690</v>
      </c>
      <c r="B2954" t="str">
        <f>"Mapcentrum s.r.o. Č.B."</f>
        <v>Mapcentrum s.r.o. Č.B.</v>
      </c>
      <c r="C2954" t="str">
        <f>"25199595"</f>
        <v>25199595</v>
      </c>
    </row>
    <row r="2955" spans="1:5" x14ac:dyDescent="0.25">
      <c r="A2955" t="str">
        <f>"13.10.2011"</f>
        <v>13.10.2011</v>
      </c>
      <c r="B2955" t="str">
        <f>"26.10.2011"</f>
        <v>26.10.2011</v>
      </c>
      <c r="C2955" t="str">
        <f>"21.10.2011"</f>
        <v>21.10.2011</v>
      </c>
      <c r="D2955" t="str">
        <f>"1.200,00"</f>
        <v>1.200,00</v>
      </c>
      <c r="E2955" t="str">
        <f>"1.200,00"</f>
        <v>1.200,00</v>
      </c>
    </row>
    <row r="2958" spans="1:5" x14ac:dyDescent="0.25">
      <c r="A2958" t="str">
        <f>"691"</f>
        <v>691</v>
      </c>
      <c r="B2958" t="str">
        <f>"E.ON  Energie a.s. Č.B."</f>
        <v>E.ON  Energie a.s. Č.B.</v>
      </c>
      <c r="C2958" t="str">
        <f>"26078201"</f>
        <v>26078201</v>
      </c>
    </row>
    <row r="2959" spans="1:5" x14ac:dyDescent="0.25">
      <c r="A2959" t="str">
        <f>"13.10.2011"</f>
        <v>13.10.2011</v>
      </c>
      <c r="B2959" t="str">
        <f>"26.10.2011"</f>
        <v>26.10.2011</v>
      </c>
      <c r="C2959" t="str">
        <f>"21.10.2011"</f>
        <v>21.10.2011</v>
      </c>
      <c r="D2959" t="str">
        <f>"33,00"</f>
        <v>33,00</v>
      </c>
      <c r="E2959" t="str">
        <f>"33,00"</f>
        <v>33,00</v>
      </c>
    </row>
    <row r="2962" spans="1:5" x14ac:dyDescent="0.25">
      <c r="A2962" t="str">
        <f>"692"</f>
        <v>692</v>
      </c>
      <c r="B2962" t="str">
        <f>"Lesy ČR s.p. LS Tábor"</f>
        <v>Lesy ČR s.p. LS Tábor</v>
      </c>
      <c r="C2962" t="str">
        <f>"42196451"</f>
        <v>42196451</v>
      </c>
    </row>
    <row r="2963" spans="1:5" x14ac:dyDescent="0.25">
      <c r="A2963" t="str">
        <f>"13.10.2011"</f>
        <v>13.10.2011</v>
      </c>
      <c r="B2963" t="str">
        <f>"29.12.2011"</f>
        <v>29.12.2011</v>
      </c>
      <c r="C2963" t="str">
        <f>"14.12.2011"</f>
        <v>14.12.2011</v>
      </c>
      <c r="D2963" t="str">
        <f>"89.939,00"</f>
        <v>89.939,00</v>
      </c>
      <c r="E2963" t="str">
        <f>"89.939,00"</f>
        <v>89.939,00</v>
      </c>
    </row>
    <row r="2966" spans="1:5" x14ac:dyDescent="0.25">
      <c r="A2966" t="str">
        <f>"693"</f>
        <v>693</v>
      </c>
      <c r="B2966" t="str">
        <f>"STRABAG a.s. Soběslav"</f>
        <v>STRABAG a.s. Soběslav</v>
      </c>
      <c r="C2966" t="str">
        <f>"60838744"</f>
        <v>60838744</v>
      </c>
    </row>
    <row r="2967" spans="1:5" x14ac:dyDescent="0.25">
      <c r="A2967" t="str">
        <f>"13.10.2011"</f>
        <v>13.10.2011</v>
      </c>
      <c r="B2967" t="str">
        <f>"07.12.2011"</f>
        <v>07.12.2011</v>
      </c>
      <c r="C2967" t="str">
        <f>"26.10.2011"</f>
        <v>26.10.2011</v>
      </c>
      <c r="D2967" t="str">
        <f>"4.030.394,67"</f>
        <v>4.030.394,67</v>
      </c>
      <c r="E2967" t="str">
        <f>"4.030.394,67"</f>
        <v>4.030.394,67</v>
      </c>
    </row>
    <row r="2970" spans="1:5" x14ac:dyDescent="0.25">
      <c r="A2970" t="str">
        <f>"694"</f>
        <v>694</v>
      </c>
      <c r="B2970" t="str">
        <f>"TRIADA  s.r.o. Praha"</f>
        <v>TRIADA  s.r.o. Praha</v>
      </c>
      <c r="C2970" t="str">
        <f>"43871020"</f>
        <v>43871020</v>
      </c>
    </row>
    <row r="2971" spans="1:5" x14ac:dyDescent="0.25">
      <c r="A2971" t="str">
        <f>"14.10.2011"</f>
        <v>14.10.2011</v>
      </c>
      <c r="B2971" t="str">
        <f>"21.10.2011"</f>
        <v>21.10.2011</v>
      </c>
      <c r="C2971" t="str">
        <f>"19.10.2011"</f>
        <v>19.10.2011</v>
      </c>
      <c r="D2971" t="str">
        <f>"540,00"</f>
        <v>540,00</v>
      </c>
      <c r="E2971" t="str">
        <f>"540,00"</f>
        <v>540,00</v>
      </c>
    </row>
    <row r="2974" spans="1:5" x14ac:dyDescent="0.25">
      <c r="A2974" t="str">
        <f>"695"</f>
        <v>695</v>
      </c>
      <c r="B2974" t="str">
        <f>"Česká pošta, s.p. Praha"</f>
        <v>Česká pošta, s.p. Praha</v>
      </c>
      <c r="C2974" t="str">
        <f>"47114983"</f>
        <v>47114983</v>
      </c>
    </row>
    <row r="2975" spans="1:5" x14ac:dyDescent="0.25">
      <c r="A2975" t="str">
        <f>"17.10.2011"</f>
        <v>17.10.2011</v>
      </c>
      <c r="B2975" t="str">
        <f>"26.10.2011"</f>
        <v>26.10.2011</v>
      </c>
      <c r="C2975" t="str">
        <f>"25.10.2011"</f>
        <v>25.10.2011</v>
      </c>
      <c r="D2975" t="str">
        <f>"5.940,00"</f>
        <v>5.940,00</v>
      </c>
      <c r="E2975" t="str">
        <f>"5.940,00"</f>
        <v>5.940,00</v>
      </c>
    </row>
    <row r="2978" spans="1:5" x14ac:dyDescent="0.25">
      <c r="A2978" t="str">
        <f>"696"</f>
        <v>696</v>
      </c>
      <c r="B2978" t="str">
        <f>"Ing.Libor Kníže Malšice"</f>
        <v>Ing.Libor Kníže Malšice</v>
      </c>
      <c r="C2978" t="str">
        <f>"74585029"</f>
        <v>74585029</v>
      </c>
    </row>
    <row r="2979" spans="1:5" x14ac:dyDescent="0.25">
      <c r="A2979" t="str">
        <f>"17.10.2011"</f>
        <v>17.10.2011</v>
      </c>
      <c r="B2979" t="str">
        <f>"27.10.2011"</f>
        <v>27.10.2011</v>
      </c>
      <c r="C2979" t="str">
        <f>"25.10.2011"</f>
        <v>25.10.2011</v>
      </c>
      <c r="D2979" t="str">
        <f>"19.500,00"</f>
        <v>19.500,00</v>
      </c>
      <c r="E2979" t="str">
        <f>"19.500,00"</f>
        <v>19.500,00</v>
      </c>
    </row>
    <row r="2982" spans="1:5" x14ac:dyDescent="0.25">
      <c r="A2982" t="str">
        <f>"697"</f>
        <v>697</v>
      </c>
      <c r="B2982" t="str">
        <f>"E.ON  Energie a.s. Č.B."</f>
        <v>E.ON  Energie a.s. Č.B.</v>
      </c>
      <c r="C2982" t="str">
        <f>"26078201"</f>
        <v>26078201</v>
      </c>
    </row>
    <row r="2983" spans="1:5" x14ac:dyDescent="0.25">
      <c r="A2983" t="str">
        <f>"17.10.2011"</f>
        <v>17.10.2011</v>
      </c>
      <c r="B2983" t="str">
        <f>"31.10.2011"</f>
        <v>31.10.2011</v>
      </c>
      <c r="C2983" t="str">
        <f>"27.10.2011"</f>
        <v>27.10.2011</v>
      </c>
      <c r="D2983" t="str">
        <f>"4.463,00"</f>
        <v>4.463,00</v>
      </c>
      <c r="E2983" t="str">
        <f>"4.463,00"</f>
        <v>4.463,00</v>
      </c>
    </row>
    <row r="2986" spans="1:5" x14ac:dyDescent="0.25">
      <c r="A2986" t="str">
        <f>"698"</f>
        <v>698</v>
      </c>
      <c r="B2986" t="str">
        <f>"Lesy ČR s.p. Jindř.Hradec"</f>
        <v>Lesy ČR s.p. Jindř.Hradec</v>
      </c>
      <c r="C2986" t="str">
        <f>"42196451"</f>
        <v>42196451</v>
      </c>
    </row>
    <row r="2987" spans="1:5" x14ac:dyDescent="0.25">
      <c r="A2987" t="str">
        <f>"17.10.2011"</f>
        <v>17.10.2011</v>
      </c>
      <c r="B2987" t="str">
        <f>"31.12.2011"</f>
        <v>31.12.2011</v>
      </c>
      <c r="C2987" t="str">
        <f>"14.12.2011"</f>
        <v>14.12.2011</v>
      </c>
      <c r="D2987" t="str">
        <f>"173.540,00"</f>
        <v>173.540,00</v>
      </c>
      <c r="E2987" t="str">
        <f>"173.540,00"</f>
        <v>173.540,00</v>
      </c>
    </row>
    <row r="2990" spans="1:5" x14ac:dyDescent="0.25">
      <c r="A2990" t="str">
        <f>"699"</f>
        <v>699</v>
      </c>
      <c r="B2990" t="str">
        <f>"Roman Smrž Tábor"</f>
        <v>Roman Smrž Tábor</v>
      </c>
      <c r="C2990" t="str">
        <f>"71919023"</f>
        <v>71919023</v>
      </c>
    </row>
    <row r="2991" spans="1:5" x14ac:dyDescent="0.25">
      <c r="A2991" t="str">
        <f>"18.10.2011"</f>
        <v>18.10.2011</v>
      </c>
      <c r="B2991" t="str">
        <f>"30.10.2011"</f>
        <v>30.10.2011</v>
      </c>
      <c r="C2991" t="str">
        <f>"27.10.2011"</f>
        <v>27.10.2011</v>
      </c>
      <c r="D2991" t="str">
        <f>"99.014,00"</f>
        <v>99.014,00</v>
      </c>
      <c r="E2991" t="str">
        <f>"99.014,00"</f>
        <v>99.014,00</v>
      </c>
    </row>
    <row r="2994" spans="1:5" x14ac:dyDescent="0.25">
      <c r="A2994" t="str">
        <f>"700"</f>
        <v>700</v>
      </c>
      <c r="B2994" t="str">
        <f>"Wolters Kluwer ČR, a.s."</f>
        <v>Wolters Kluwer ČR, a.s.</v>
      </c>
      <c r="C2994" t="str">
        <f>"63077639"</f>
        <v>63077639</v>
      </c>
    </row>
    <row r="2995" spans="1:5" x14ac:dyDescent="0.25">
      <c r="A2995" t="str">
        <f>"19.10.2011"</f>
        <v>19.10.2011</v>
      </c>
      <c r="B2995" t="str">
        <f>"25.10.2011"</f>
        <v>25.10.2011</v>
      </c>
      <c r="C2995" t="str">
        <f>"25.10.2011"</f>
        <v>25.10.2011</v>
      </c>
      <c r="D2995" t="str">
        <f>"1.639,00"</f>
        <v>1.639,00</v>
      </c>
      <c r="E2995" t="str">
        <f>"1.639,00"</f>
        <v>1.639,00</v>
      </c>
    </row>
    <row r="2998" spans="1:5" x14ac:dyDescent="0.25">
      <c r="A2998" t="str">
        <f>"701"</f>
        <v>701</v>
      </c>
      <c r="B2998" t="str">
        <f>"Truhlářství Bicenc"</f>
        <v>Truhlářství Bicenc</v>
      </c>
      <c r="C2998" t="str">
        <f>"69535884"</f>
        <v>69535884</v>
      </c>
    </row>
    <row r="2999" spans="1:5" x14ac:dyDescent="0.25">
      <c r="A2999" t="str">
        <f>"19.10.2011"</f>
        <v>19.10.2011</v>
      </c>
      <c r="B2999" t="str">
        <f>"27.10.2011"</f>
        <v>27.10.2011</v>
      </c>
      <c r="C2999" t="str">
        <f>"25.10.2011"</f>
        <v>25.10.2011</v>
      </c>
      <c r="D2999" t="str">
        <f>"10.123,00"</f>
        <v>10.123,00</v>
      </c>
      <c r="E2999" t="str">
        <f>"10.123,00"</f>
        <v>10.123,00</v>
      </c>
    </row>
    <row r="3001" spans="1:5" x14ac:dyDescent="0.25">
      <c r="A3001" t="str">
        <f>"Poř.č.fak."</f>
        <v>Poř.č.fak.</v>
      </c>
      <c r="B3001" t="str">
        <f>"Dodavatel"</f>
        <v>Dodavatel</v>
      </c>
      <c r="C3001" t="str">
        <f>"IČO"</f>
        <v>IČO</v>
      </c>
    </row>
    <row r="3002" spans="1:5" x14ac:dyDescent="0.25">
      <c r="A3002" t="str">
        <f>"Došla"</f>
        <v>Došla</v>
      </c>
      <c r="B3002" t="str">
        <f>"Splatná"</f>
        <v>Splatná</v>
      </c>
      <c r="C3002" t="str">
        <f>"Zaplacená"</f>
        <v>Zaplacená</v>
      </c>
      <c r="D3002" t="str">
        <f>"Fakt.částka"</f>
        <v>Fakt.částka</v>
      </c>
      <c r="E3002" t="str">
        <f>"Celk.zaplaceno"</f>
        <v>Celk.zaplaceno</v>
      </c>
    </row>
    <row r="3003" spans="1:5" x14ac:dyDescent="0.25">
      <c r="B3003" t="str">
        <f>"Poznámka"</f>
        <v>Poznámka</v>
      </c>
    </row>
    <row r="3004" spans="1:5" x14ac:dyDescent="0.25">
      <c r="A3004" t="str">
        <f>"**********"</f>
        <v>**********</v>
      </c>
      <c r="B3004" t="str">
        <f>"**************************"</f>
        <v>**************************</v>
      </c>
      <c r="C3004" t="str">
        <f>"***********"</f>
        <v>***********</v>
      </c>
      <c r="D3004" t="str">
        <f>"***************"</f>
        <v>***************</v>
      </c>
      <c r="E3004" t="str">
        <f>"***************"</f>
        <v>***************</v>
      </c>
    </row>
    <row r="3006" spans="1:5" x14ac:dyDescent="0.25">
      <c r="A3006" t="str">
        <f>"702"</f>
        <v>702</v>
      </c>
      <c r="B3006" t="str">
        <f>"Truhlářství Bicenc"</f>
        <v>Truhlářství Bicenc</v>
      </c>
      <c r="C3006" t="str">
        <f>"69535884"</f>
        <v>69535884</v>
      </c>
    </row>
    <row r="3007" spans="1:5" x14ac:dyDescent="0.25">
      <c r="A3007" t="str">
        <f>"19.10.2011"</f>
        <v>19.10.2011</v>
      </c>
      <c r="B3007" t="str">
        <f>"27.10.2011"</f>
        <v>27.10.2011</v>
      </c>
      <c r="C3007" t="str">
        <f>"25.10.2011"</f>
        <v>25.10.2011</v>
      </c>
      <c r="D3007" t="str">
        <f>"46.603,00"</f>
        <v>46.603,00</v>
      </c>
      <c r="E3007" t="str">
        <f>"46.603,00"</f>
        <v>46.603,00</v>
      </c>
    </row>
    <row r="3010" spans="1:5" x14ac:dyDescent="0.25">
      <c r="A3010" t="str">
        <f>"703"</f>
        <v>703</v>
      </c>
      <c r="B3010" t="str">
        <f>"Autoservis Jindra s.r.o."</f>
        <v>Autoservis Jindra s.r.o.</v>
      </c>
      <c r="C3010" t="str">
        <f>"63277956"</f>
        <v>63277956</v>
      </c>
    </row>
    <row r="3011" spans="1:5" x14ac:dyDescent="0.25">
      <c r="A3011" t="str">
        <f>"19.10.2011"</f>
        <v>19.10.2011</v>
      </c>
      <c r="B3011" t="str">
        <f>"27.10.2011"</f>
        <v>27.10.2011</v>
      </c>
      <c r="C3011" t="str">
        <f>"25.10.2011"</f>
        <v>25.10.2011</v>
      </c>
      <c r="D3011" t="str">
        <f>"12.607,00"</f>
        <v>12.607,00</v>
      </c>
      <c r="E3011" t="str">
        <f>"12.607,00"</f>
        <v>12.607,00</v>
      </c>
    </row>
    <row r="3014" spans="1:5" x14ac:dyDescent="0.25">
      <c r="A3014" t="str">
        <f>"704"</f>
        <v>704</v>
      </c>
      <c r="B3014" t="str">
        <f>"VITA software s.r.o. Prah"</f>
        <v>VITA software s.r.o. Prah</v>
      </c>
      <c r="C3014" t="str">
        <f>"61060631"</f>
        <v>61060631</v>
      </c>
    </row>
    <row r="3015" spans="1:5" x14ac:dyDescent="0.25">
      <c r="A3015" t="str">
        <f>"19.10.2011"</f>
        <v>19.10.2011</v>
      </c>
      <c r="B3015" t="str">
        <f>"30.10.2011"</f>
        <v>30.10.2011</v>
      </c>
      <c r="C3015" t="str">
        <f>"27.10.2011"</f>
        <v>27.10.2011</v>
      </c>
      <c r="D3015" t="str">
        <f>"14.760,00"</f>
        <v>14.760,00</v>
      </c>
      <c r="E3015" t="str">
        <f>"14.760,00"</f>
        <v>14.760,00</v>
      </c>
    </row>
    <row r="3018" spans="1:5" x14ac:dyDescent="0.25">
      <c r="A3018" t="str">
        <f>"705"</f>
        <v>705</v>
      </c>
      <c r="B3018" t="str">
        <f>"EUROSAD, s.r.o. Val č.3"</f>
        <v>EUROSAD, s.r.o. Val č.3</v>
      </c>
      <c r="C3018" t="str">
        <f>"62503910"</f>
        <v>62503910</v>
      </c>
    </row>
    <row r="3019" spans="1:5" x14ac:dyDescent="0.25">
      <c r="A3019" t="str">
        <f>"20.10.2011"</f>
        <v>20.10.2011</v>
      </c>
      <c r="B3019" t="str">
        <f>"25.10.2011"</f>
        <v>25.10.2011</v>
      </c>
      <c r="C3019" t="str">
        <f>"25.10.2011"</f>
        <v>25.10.2011</v>
      </c>
      <c r="D3019" t="str">
        <f>"3.788,00"</f>
        <v>3.788,00</v>
      </c>
      <c r="E3019" t="str">
        <f>"3.788,00"</f>
        <v>3.788,00</v>
      </c>
    </row>
    <row r="3022" spans="1:5" x14ac:dyDescent="0.25">
      <c r="A3022" t="str">
        <f>"706"</f>
        <v>706</v>
      </c>
      <c r="B3022" t="str">
        <f>"Autoservis Jindra s.r.o."</f>
        <v>Autoservis Jindra s.r.o.</v>
      </c>
      <c r="C3022" t="str">
        <f>"63277956"</f>
        <v>63277956</v>
      </c>
    </row>
    <row r="3023" spans="1:5" x14ac:dyDescent="0.25">
      <c r="A3023" t="str">
        <f>"20.10.2011"</f>
        <v>20.10.2011</v>
      </c>
      <c r="B3023" t="str">
        <f>"28.10.2011"</f>
        <v>28.10.2011</v>
      </c>
      <c r="C3023" t="str">
        <f>"26.10.2011"</f>
        <v>26.10.2011</v>
      </c>
      <c r="D3023" t="str">
        <f>"494,00"</f>
        <v>494,00</v>
      </c>
      <c r="E3023" t="str">
        <f>"494,00"</f>
        <v>494,00</v>
      </c>
    </row>
    <row r="3026" spans="1:5" x14ac:dyDescent="0.25">
      <c r="A3026" t="str">
        <f>"707"</f>
        <v>707</v>
      </c>
      <c r="B3026" t="str">
        <f>"Elektro Legát  s.r.o."</f>
        <v>Elektro Legát  s.r.o.</v>
      </c>
      <c r="C3026" t="str">
        <f>"25162721"</f>
        <v>25162721</v>
      </c>
    </row>
    <row r="3027" spans="1:5" x14ac:dyDescent="0.25">
      <c r="A3027" t="str">
        <f>"20.10.2011"</f>
        <v>20.10.2011</v>
      </c>
      <c r="B3027" t="str">
        <f>"01.11.2011"</f>
        <v>01.11.2011</v>
      </c>
      <c r="C3027" t="str">
        <f>"27.10.2011"</f>
        <v>27.10.2011</v>
      </c>
      <c r="D3027" t="str">
        <f>"28.272,00"</f>
        <v>28.272,00</v>
      </c>
      <c r="E3027" t="str">
        <f>"28.272,00"</f>
        <v>28.272,00</v>
      </c>
    </row>
    <row r="3030" spans="1:5" x14ac:dyDescent="0.25">
      <c r="A3030" t="str">
        <f>"708"</f>
        <v>708</v>
      </c>
      <c r="B3030" t="str">
        <f>"Montela, s.r.o. Č.B."</f>
        <v>Montela, s.r.o. Č.B.</v>
      </c>
      <c r="C3030" t="str">
        <f>"14503026"</f>
        <v>14503026</v>
      </c>
    </row>
    <row r="3031" spans="1:5" x14ac:dyDescent="0.25">
      <c r="A3031" t="str">
        <f>"20.10.2011"</f>
        <v>20.10.2011</v>
      </c>
      <c r="B3031" t="str">
        <f>"02.11.2011"</f>
        <v>02.11.2011</v>
      </c>
      <c r="C3031" t="str">
        <f>"27.10.2011"</f>
        <v>27.10.2011</v>
      </c>
      <c r="D3031" t="str">
        <f>"81.506,00"</f>
        <v>81.506,00</v>
      </c>
      <c r="E3031" t="str">
        <f>"81.506,00"</f>
        <v>81.506,00</v>
      </c>
    </row>
    <row r="3034" spans="1:5" x14ac:dyDescent="0.25">
      <c r="A3034" t="str">
        <f>"709"</f>
        <v>709</v>
      </c>
      <c r="B3034" t="str">
        <f>"M LORDY s.r.o. Polešovice"</f>
        <v>M LORDY s.r.o. Polešovice</v>
      </c>
      <c r="C3034" t="str">
        <f>"26942178"</f>
        <v>26942178</v>
      </c>
    </row>
    <row r="3035" spans="1:5" x14ac:dyDescent="0.25">
      <c r="A3035" t="str">
        <f>"20.10.2011"</f>
        <v>20.10.2011</v>
      </c>
      <c r="B3035" t="str">
        <f>"03.11.2011"</f>
        <v>03.11.2011</v>
      </c>
      <c r="C3035" t="str">
        <f>"01.11.2011"</f>
        <v>01.11.2011</v>
      </c>
      <c r="D3035" t="str">
        <f>"2.780,00"</f>
        <v>2.780,00</v>
      </c>
      <c r="E3035" t="str">
        <f>"2.780,00"</f>
        <v>2.780,00</v>
      </c>
    </row>
    <row r="3038" spans="1:5" x14ac:dyDescent="0.25">
      <c r="A3038" t="str">
        <f>"710"</f>
        <v>710</v>
      </c>
      <c r="B3038" t="str">
        <f>"Autoservis Jindra s.r.o."</f>
        <v>Autoservis Jindra s.r.o.</v>
      </c>
      <c r="C3038" t="str">
        <f>"63277956"</f>
        <v>63277956</v>
      </c>
    </row>
    <row r="3039" spans="1:5" x14ac:dyDescent="0.25">
      <c r="A3039" t="str">
        <f>"21.10.2011"</f>
        <v>21.10.2011</v>
      </c>
      <c r="B3039" t="str">
        <f>"29.10.2011"</f>
        <v>29.10.2011</v>
      </c>
      <c r="C3039" t="str">
        <f>"26.10.2011"</f>
        <v>26.10.2011</v>
      </c>
      <c r="D3039" t="str">
        <f>"973,00"</f>
        <v>973,00</v>
      </c>
      <c r="E3039" t="str">
        <f>"973,00"</f>
        <v>973,00</v>
      </c>
    </row>
    <row r="3042" spans="1:5" x14ac:dyDescent="0.25">
      <c r="A3042" t="str">
        <f>"711"</f>
        <v>711</v>
      </c>
      <c r="B3042" t="str">
        <f>"Autoservis Jindra s.r.o."</f>
        <v>Autoservis Jindra s.r.o.</v>
      </c>
      <c r="C3042" t="str">
        <f>"63277956"</f>
        <v>63277956</v>
      </c>
    </row>
    <row r="3043" spans="1:5" x14ac:dyDescent="0.25">
      <c r="A3043" t="str">
        <f>"21.10.2011"</f>
        <v>21.10.2011</v>
      </c>
      <c r="B3043" t="str">
        <f>"29.10.2011"</f>
        <v>29.10.2011</v>
      </c>
      <c r="C3043" t="str">
        <f>"26.10.2011"</f>
        <v>26.10.2011</v>
      </c>
      <c r="D3043" t="str">
        <f>"5.567,00"</f>
        <v>5.567,00</v>
      </c>
      <c r="E3043" t="str">
        <f>"5.567,00"</f>
        <v>5.567,00</v>
      </c>
    </row>
    <row r="3046" spans="1:5" x14ac:dyDescent="0.25">
      <c r="A3046" t="str">
        <f>"712"</f>
        <v>712</v>
      </c>
      <c r="B3046" t="str">
        <f>"SEVT  a.s. Praha"</f>
        <v>SEVT  a.s. Praha</v>
      </c>
      <c r="C3046" t="str">
        <f>"45274851"</f>
        <v>45274851</v>
      </c>
    </row>
    <row r="3047" spans="1:5" x14ac:dyDescent="0.25">
      <c r="A3047" t="str">
        <f>"24.10.2011"</f>
        <v>24.10.2011</v>
      </c>
      <c r="B3047" t="str">
        <f>"04.11.2011"</f>
        <v>04.11.2011</v>
      </c>
      <c r="C3047" t="str">
        <f>"02.11.2011"</f>
        <v>02.11.2011</v>
      </c>
      <c r="D3047" t="str">
        <f>"1.250,00"</f>
        <v>1.250,00</v>
      </c>
      <c r="E3047" t="str">
        <f>"1.250,00"</f>
        <v>1.250,00</v>
      </c>
    </row>
    <row r="3050" spans="1:5" x14ac:dyDescent="0.25">
      <c r="A3050" t="str">
        <f>"713"</f>
        <v>713</v>
      </c>
      <c r="B3050" t="str">
        <f>"Správa města Soběslavi"</f>
        <v>Správa města Soběslavi</v>
      </c>
      <c r="C3050" t="str">
        <f>"26029987"</f>
        <v>26029987</v>
      </c>
    </row>
    <row r="3051" spans="1:5" x14ac:dyDescent="0.25">
      <c r="A3051" t="str">
        <f>"25.10.2011"</f>
        <v>25.10.2011</v>
      </c>
      <c r="B3051" t="str">
        <f>"07.11.2011"</f>
        <v>07.11.2011</v>
      </c>
      <c r="C3051" t="str">
        <f>"03.11.2011"</f>
        <v>03.11.2011</v>
      </c>
      <c r="D3051" t="str">
        <f>"5.376,00"</f>
        <v>5.376,00</v>
      </c>
      <c r="E3051" t="str">
        <f>"5.376,00"</f>
        <v>5.376,00</v>
      </c>
    </row>
    <row r="3054" spans="1:5" x14ac:dyDescent="0.25">
      <c r="A3054" t="str">
        <f>"714"</f>
        <v>714</v>
      </c>
      <c r="B3054" t="str">
        <f>"Správa města Soběslavi"</f>
        <v>Správa města Soběslavi</v>
      </c>
      <c r="C3054" t="str">
        <f>"26029987"</f>
        <v>26029987</v>
      </c>
    </row>
    <row r="3055" spans="1:5" x14ac:dyDescent="0.25">
      <c r="A3055" t="str">
        <f>"25.10.2011"</f>
        <v>25.10.2011</v>
      </c>
      <c r="B3055" t="str">
        <f>"07.11.2011"</f>
        <v>07.11.2011</v>
      </c>
      <c r="C3055" t="str">
        <f>"03.11.2011"</f>
        <v>03.11.2011</v>
      </c>
      <c r="D3055" t="str">
        <f>"29.407,00"</f>
        <v>29.407,00</v>
      </c>
      <c r="E3055" t="str">
        <f>"29.407,00"</f>
        <v>29.407,00</v>
      </c>
    </row>
    <row r="3058" spans="1:5" x14ac:dyDescent="0.25">
      <c r="A3058" t="str">
        <f>"715"</f>
        <v>715</v>
      </c>
      <c r="B3058" t="str">
        <f>"XERTEC a.s. Praha"</f>
        <v>XERTEC a.s. Praha</v>
      </c>
      <c r="C3058" t="str">
        <f>"27399508"</f>
        <v>27399508</v>
      </c>
    </row>
    <row r="3059" spans="1:5" x14ac:dyDescent="0.25">
      <c r="A3059" t="str">
        <f>"25.10.2011"</f>
        <v>25.10.2011</v>
      </c>
      <c r="B3059" t="str">
        <f>"07.11.2011"</f>
        <v>07.11.2011</v>
      </c>
      <c r="C3059" t="str">
        <f>"03.11.2011"</f>
        <v>03.11.2011</v>
      </c>
      <c r="D3059" t="str">
        <f>"1.917,36"</f>
        <v>1.917,36</v>
      </c>
      <c r="E3059" t="str">
        <f>"1.917,36"</f>
        <v>1.917,36</v>
      </c>
    </row>
    <row r="3061" spans="1:5" x14ac:dyDescent="0.25">
      <c r="A3061" t="str">
        <f>"Poř.č.fak."</f>
        <v>Poř.č.fak.</v>
      </c>
      <c r="B3061" t="str">
        <f>"Dodavatel"</f>
        <v>Dodavatel</v>
      </c>
      <c r="C3061" t="str">
        <f>"IČO"</f>
        <v>IČO</v>
      </c>
    </row>
    <row r="3062" spans="1:5" x14ac:dyDescent="0.25">
      <c r="A3062" t="str">
        <f>"Došla"</f>
        <v>Došla</v>
      </c>
      <c r="B3062" t="str">
        <f>"Splatná"</f>
        <v>Splatná</v>
      </c>
      <c r="C3062" t="str">
        <f>"Zaplacená"</f>
        <v>Zaplacená</v>
      </c>
      <c r="D3062" t="str">
        <f>"Fakt.částka"</f>
        <v>Fakt.částka</v>
      </c>
      <c r="E3062" t="str">
        <f>"Celk.zaplaceno"</f>
        <v>Celk.zaplaceno</v>
      </c>
    </row>
    <row r="3063" spans="1:5" x14ac:dyDescent="0.25">
      <c r="B3063" t="str">
        <f>"Poznámka"</f>
        <v>Poznámka</v>
      </c>
    </row>
    <row r="3064" spans="1:5" x14ac:dyDescent="0.25">
      <c r="A3064" t="str">
        <f>"**********"</f>
        <v>**********</v>
      </c>
      <c r="B3064" t="str">
        <f>"**************************"</f>
        <v>**************************</v>
      </c>
      <c r="C3064" t="str">
        <f>"***********"</f>
        <v>***********</v>
      </c>
      <c r="D3064" t="str">
        <f>"***************"</f>
        <v>***************</v>
      </c>
      <c r="E3064" t="str">
        <f>"***************"</f>
        <v>***************</v>
      </c>
    </row>
    <row r="3066" spans="1:5" x14ac:dyDescent="0.25">
      <c r="A3066" t="str">
        <f>"716"</f>
        <v>716</v>
      </c>
      <c r="B3066" t="str">
        <f>"Autoservis Jindra s.r.o."</f>
        <v>Autoservis Jindra s.r.o.</v>
      </c>
      <c r="C3066" t="str">
        <f>"63277956"</f>
        <v>63277956</v>
      </c>
    </row>
    <row r="3067" spans="1:5" x14ac:dyDescent="0.25">
      <c r="A3067" t="str">
        <f>"26.10.2011"</f>
        <v>26.10.2011</v>
      </c>
      <c r="B3067" t="str">
        <f>"03.11.2011"</f>
        <v>03.11.2011</v>
      </c>
      <c r="C3067" t="str">
        <f>"01.11.2011"</f>
        <v>01.11.2011</v>
      </c>
      <c r="D3067" t="str">
        <f>"1.558,00"</f>
        <v>1.558,00</v>
      </c>
      <c r="E3067" t="str">
        <f>"1.558,00"</f>
        <v>1.558,00</v>
      </c>
    </row>
    <row r="3070" spans="1:5" x14ac:dyDescent="0.25">
      <c r="A3070" t="str">
        <f>"717"</f>
        <v>717</v>
      </c>
      <c r="B3070" t="str">
        <f>"PIK engineering,s.r.o. Pí"</f>
        <v>PIK engineering,s.r.o. Pí</v>
      </c>
      <c r="C3070" t="str">
        <f>"25156365"</f>
        <v>25156365</v>
      </c>
    </row>
    <row r="3071" spans="1:5" x14ac:dyDescent="0.25">
      <c r="A3071" t="str">
        <f>"26.10.2011"</f>
        <v>26.10.2011</v>
      </c>
      <c r="B3071" t="str">
        <f>"03.11.2011"</f>
        <v>03.11.2011</v>
      </c>
      <c r="C3071" t="str">
        <f>"01.11.2011"</f>
        <v>01.11.2011</v>
      </c>
      <c r="D3071" t="str">
        <f>"19.920,00"</f>
        <v>19.920,00</v>
      </c>
      <c r="E3071" t="str">
        <f>"19.920,00"</f>
        <v>19.920,00</v>
      </c>
    </row>
    <row r="3074" spans="1:5" x14ac:dyDescent="0.25">
      <c r="A3074" t="str">
        <f>"718"</f>
        <v>718</v>
      </c>
      <c r="B3074" t="str">
        <f>"DCS Systems,s.r.o. Praha"</f>
        <v>DCS Systems,s.r.o. Praha</v>
      </c>
      <c r="C3074" t="str">
        <f>"26178842"</f>
        <v>26178842</v>
      </c>
    </row>
    <row r="3075" spans="1:5" x14ac:dyDescent="0.25">
      <c r="A3075" t="str">
        <f>"26.10.2011"</f>
        <v>26.10.2011</v>
      </c>
      <c r="B3075" t="str">
        <f>"03.11.2011"</f>
        <v>03.11.2011</v>
      </c>
      <c r="C3075" t="str">
        <f>"02.11.2011"</f>
        <v>02.11.2011</v>
      </c>
      <c r="D3075" t="str">
        <f>"80.222,00"</f>
        <v>80.222,00</v>
      </c>
      <c r="E3075" t="str">
        <f>"80.222,00"</f>
        <v>80.222,00</v>
      </c>
    </row>
    <row r="3078" spans="1:5" x14ac:dyDescent="0.25">
      <c r="A3078" t="str">
        <f>"719"</f>
        <v>719</v>
      </c>
      <c r="B3078" t="str">
        <f>"JIHOSTAV s.r.o. Soběslav"</f>
        <v>JIHOSTAV s.r.o. Soběslav</v>
      </c>
      <c r="C3078" t="str">
        <f>"47239484"</f>
        <v>47239484</v>
      </c>
    </row>
    <row r="3079" spans="1:5" x14ac:dyDescent="0.25">
      <c r="A3079" t="str">
        <f>"26.10.2011"</f>
        <v>26.10.2011</v>
      </c>
      <c r="B3079" t="str">
        <f>"03.11.2011"</f>
        <v>03.11.2011</v>
      </c>
      <c r="C3079" t="str">
        <f>"01.11.2011"</f>
        <v>01.11.2011</v>
      </c>
      <c r="D3079" t="str">
        <f>"220.627,00"</f>
        <v>220.627,00</v>
      </c>
      <c r="E3079" t="str">
        <f>"220.627,00"</f>
        <v>220.627,00</v>
      </c>
    </row>
    <row r="3082" spans="1:5" x14ac:dyDescent="0.25">
      <c r="A3082" t="str">
        <f>"720"</f>
        <v>720</v>
      </c>
      <c r="B3082" t="str">
        <f>"ACTIVA s.r.o. Praha 9"</f>
        <v>ACTIVA s.r.o. Praha 9</v>
      </c>
      <c r="C3082" t="str">
        <f>"48111198"</f>
        <v>48111198</v>
      </c>
    </row>
    <row r="3083" spans="1:5" x14ac:dyDescent="0.25">
      <c r="A3083" t="str">
        <f>"26.10.2011"</f>
        <v>26.10.2011</v>
      </c>
      <c r="B3083" t="str">
        <f>"08.11.2011"</f>
        <v>08.11.2011</v>
      </c>
      <c r="C3083" t="str">
        <f>"04.11.2011"</f>
        <v>04.11.2011</v>
      </c>
      <c r="D3083" t="str">
        <f>"10.622,00"</f>
        <v>10.622,00</v>
      </c>
      <c r="E3083" t="str">
        <f>"10.622,00"</f>
        <v>10.622,00</v>
      </c>
    </row>
    <row r="3086" spans="1:5" x14ac:dyDescent="0.25">
      <c r="A3086" t="str">
        <f>"721"</f>
        <v>721</v>
      </c>
      <c r="B3086" t="str">
        <f>"Ing. Fiala Boh. Soběslav"</f>
        <v>Ing. Fiala Boh. Soběslav</v>
      </c>
      <c r="C3086" t="str">
        <f>"15781038"</f>
        <v>15781038</v>
      </c>
    </row>
    <row r="3087" spans="1:5" x14ac:dyDescent="0.25">
      <c r="A3087" t="str">
        <f>"26.10.2011"</f>
        <v>26.10.2011</v>
      </c>
      <c r="B3087" t="str">
        <f>"09.11.2011"</f>
        <v>09.11.2011</v>
      </c>
      <c r="C3087" t="str">
        <f>"04.11.2011"</f>
        <v>04.11.2011</v>
      </c>
      <c r="D3087" t="str">
        <f>"2.300,00"</f>
        <v>2.300,00</v>
      </c>
      <c r="E3087" t="str">
        <f>"2.300,00"</f>
        <v>2.300,00</v>
      </c>
    </row>
    <row r="3090" spans="1:5" x14ac:dyDescent="0.25">
      <c r="A3090" t="str">
        <f>"722"</f>
        <v>722</v>
      </c>
      <c r="B3090" t="str">
        <f>"Ing. Pavel Douša Tábor"</f>
        <v>Ing. Pavel Douša Tábor</v>
      </c>
      <c r="C3090" t="str">
        <f>"10325123"</f>
        <v>10325123</v>
      </c>
    </row>
    <row r="3091" spans="1:5" x14ac:dyDescent="0.25">
      <c r="A3091" t="str">
        <f>"27.10.2011"</f>
        <v>27.10.2011</v>
      </c>
      <c r="B3091" t="str">
        <f>"08.11.2011"</f>
        <v>08.11.2011</v>
      </c>
      <c r="C3091" t="str">
        <f>"04.11.2011"</f>
        <v>04.11.2011</v>
      </c>
      <c r="D3091" t="str">
        <f>"30.000,00"</f>
        <v>30.000,00</v>
      </c>
      <c r="E3091" t="str">
        <f>"30.000,00"</f>
        <v>30.000,00</v>
      </c>
    </row>
    <row r="3094" spans="1:5" x14ac:dyDescent="0.25">
      <c r="A3094" t="str">
        <f>"723"</f>
        <v>723</v>
      </c>
      <c r="B3094" t="str">
        <f>"TEPO-LD s.r.o. Soběslav"</f>
        <v>TEPO-LD s.r.o. Soběslav</v>
      </c>
      <c r="C3094" t="str">
        <f>"26113848"</f>
        <v>26113848</v>
      </c>
    </row>
    <row r="3095" spans="1:5" x14ac:dyDescent="0.25">
      <c r="A3095" t="str">
        <f>"27.10.2011"</f>
        <v>27.10.2011</v>
      </c>
      <c r="B3095" t="str">
        <f>"05.11.2011"</f>
        <v>05.11.2011</v>
      </c>
      <c r="C3095" t="str">
        <f>"02.11.2011"</f>
        <v>02.11.2011</v>
      </c>
      <c r="D3095" t="str">
        <f>"111.032,00"</f>
        <v>111.032,00</v>
      </c>
      <c r="E3095" t="str">
        <f>"111.032,00"</f>
        <v>111.032,00</v>
      </c>
    </row>
    <row r="3098" spans="1:5" x14ac:dyDescent="0.25">
      <c r="A3098" t="str">
        <f>"724"</f>
        <v>724</v>
      </c>
      <c r="B3098" t="str">
        <f>"KONICA MINOLTA s.r.o."</f>
        <v>KONICA MINOLTA s.r.o.</v>
      </c>
      <c r="C3098" t="str">
        <f>"00176150"</f>
        <v>00176150</v>
      </c>
    </row>
    <row r="3099" spans="1:5" x14ac:dyDescent="0.25">
      <c r="A3099" t="str">
        <f>"31.10.2011"</f>
        <v>31.10.2011</v>
      </c>
      <c r="B3099" t="str">
        <f>"05.11.2011"</f>
        <v>05.11.2011</v>
      </c>
      <c r="C3099" t="str">
        <f>"03.11.2011"</f>
        <v>03.11.2011</v>
      </c>
      <c r="D3099" t="str">
        <f>"5.445,70"</f>
        <v>5.445,70</v>
      </c>
      <c r="E3099" t="str">
        <f>"5.445,70"</f>
        <v>5.445,70</v>
      </c>
    </row>
    <row r="3102" spans="1:5" x14ac:dyDescent="0.25">
      <c r="A3102" t="str">
        <f>"725"</f>
        <v>725</v>
      </c>
      <c r="B3102" t="str">
        <f>"Správa města Soběslavi"</f>
        <v>Správa města Soběslavi</v>
      </c>
      <c r="C3102" t="str">
        <f>"26029987"</f>
        <v>26029987</v>
      </c>
    </row>
    <row r="3103" spans="1:5" x14ac:dyDescent="0.25">
      <c r="A3103" t="str">
        <f>"31.10.2011"</f>
        <v>31.10.2011</v>
      </c>
      <c r="B3103" t="str">
        <f>"10.11.2011"</f>
        <v>10.11.2011</v>
      </c>
      <c r="C3103" t="str">
        <f>"07.11.2011"</f>
        <v>07.11.2011</v>
      </c>
      <c r="D3103" t="str">
        <f>"17.171,00"</f>
        <v>17.171,00</v>
      </c>
      <c r="E3103" t="str">
        <f>"17.171,00"</f>
        <v>17.171,00</v>
      </c>
    </row>
    <row r="3106" spans="1:5" x14ac:dyDescent="0.25">
      <c r="A3106" t="str">
        <f>"726"</f>
        <v>726</v>
      </c>
      <c r="B3106" t="str">
        <f>"Dopravní stavby HP Bohemi"</f>
        <v>Dopravní stavby HP Bohemi</v>
      </c>
      <c r="C3106" t="str">
        <f>"25161601"</f>
        <v>25161601</v>
      </c>
    </row>
    <row r="3107" spans="1:5" x14ac:dyDescent="0.25">
      <c r="A3107" t="str">
        <f>"01.11.2011"</f>
        <v>01.11.2011</v>
      </c>
      <c r="B3107" t="str">
        <f>"08.11.2011"</f>
        <v>08.11.2011</v>
      </c>
      <c r="C3107" t="str">
        <f>"07.11.2011"</f>
        <v>07.11.2011</v>
      </c>
      <c r="D3107" t="str">
        <f>"211.715,00"</f>
        <v>211.715,00</v>
      </c>
      <c r="E3107" t="str">
        <f>"211.715,00"</f>
        <v>211.715,00</v>
      </c>
    </row>
    <row r="3110" spans="1:5" x14ac:dyDescent="0.25">
      <c r="A3110" t="str">
        <f>"727"</f>
        <v>727</v>
      </c>
      <c r="B3110" t="str">
        <f>"BOWA s.r.o. Znojmo"</f>
        <v>BOWA s.r.o. Znojmo</v>
      </c>
      <c r="C3110" t="str">
        <f>"25596861"</f>
        <v>25596861</v>
      </c>
    </row>
    <row r="3111" spans="1:5" x14ac:dyDescent="0.25">
      <c r="A3111" t="str">
        <f>"01.11.2011"</f>
        <v>01.11.2011</v>
      </c>
      <c r="B3111" t="str">
        <f>"09.11.2011"</f>
        <v>09.11.2011</v>
      </c>
      <c r="C3111" t="str">
        <f>"07.11.2011"</f>
        <v>07.11.2011</v>
      </c>
      <c r="D3111" t="str">
        <f>"5.085,00"</f>
        <v>5.085,00</v>
      </c>
      <c r="E3111" t="str">
        <f>"5.085,00"</f>
        <v>5.085,00</v>
      </c>
    </row>
    <row r="3114" spans="1:5" x14ac:dyDescent="0.25">
      <c r="A3114" t="str">
        <f>"728"</f>
        <v>728</v>
      </c>
      <c r="B3114" t="str">
        <f>"Jiří Koranda Radimov"</f>
        <v>Jiří Koranda Radimov</v>
      </c>
      <c r="C3114" t="str">
        <f>"72190680"</f>
        <v>72190680</v>
      </c>
    </row>
    <row r="3115" spans="1:5" x14ac:dyDescent="0.25">
      <c r="A3115" t="str">
        <f>"01.11.2011"</f>
        <v>01.11.2011</v>
      </c>
      <c r="B3115" t="str">
        <f>"13.11.2011"</f>
        <v>13.11.2011</v>
      </c>
      <c r="C3115" t="str">
        <f>"07.11.2011"</f>
        <v>07.11.2011</v>
      </c>
      <c r="D3115" t="str">
        <f>"1.080,00"</f>
        <v>1.080,00</v>
      </c>
      <c r="E3115" t="str">
        <f>"1.080,00"</f>
        <v>1.080,00</v>
      </c>
    </row>
    <row r="3118" spans="1:5" x14ac:dyDescent="0.25">
      <c r="A3118" t="str">
        <f>"729"</f>
        <v>729</v>
      </c>
      <c r="B3118" t="str">
        <f>"SEVT  a.s. Praha"</f>
        <v>SEVT  a.s. Praha</v>
      </c>
      <c r="C3118" t="str">
        <f>"45274851"</f>
        <v>45274851</v>
      </c>
    </row>
    <row r="3119" spans="1:5" x14ac:dyDescent="0.25">
      <c r="A3119" t="str">
        <f>"01.11.2011"</f>
        <v>01.11.2011</v>
      </c>
      <c r="B3119" t="str">
        <f>"15.01.2011"</f>
        <v>15.01.2011</v>
      </c>
      <c r="C3119" t="str">
        <f>"10.11.2011"</f>
        <v>10.11.2011</v>
      </c>
      <c r="D3119" t="str">
        <f>"1.520,00"</f>
        <v>1.520,00</v>
      </c>
      <c r="E3119" t="str">
        <f>"1.520,00"</f>
        <v>1.520,00</v>
      </c>
    </row>
    <row r="3121" spans="1:5" x14ac:dyDescent="0.25">
      <c r="A3121" t="str">
        <f>"Poř.č.fak."</f>
        <v>Poř.č.fak.</v>
      </c>
      <c r="B3121" t="str">
        <f>"Dodavatel"</f>
        <v>Dodavatel</v>
      </c>
      <c r="C3121" t="str">
        <f>"IČO"</f>
        <v>IČO</v>
      </c>
    </row>
    <row r="3122" spans="1:5" x14ac:dyDescent="0.25">
      <c r="A3122" t="str">
        <f>"Došla"</f>
        <v>Došla</v>
      </c>
      <c r="B3122" t="str">
        <f>"Splatná"</f>
        <v>Splatná</v>
      </c>
      <c r="C3122" t="str">
        <f>"Zaplacená"</f>
        <v>Zaplacená</v>
      </c>
      <c r="D3122" t="str">
        <f>"Fakt.částka"</f>
        <v>Fakt.částka</v>
      </c>
      <c r="E3122" t="str">
        <f>"Celk.zaplaceno"</f>
        <v>Celk.zaplaceno</v>
      </c>
    </row>
    <row r="3123" spans="1:5" x14ac:dyDescent="0.25">
      <c r="B3123" t="str">
        <f>"Poznámka"</f>
        <v>Poznámka</v>
      </c>
    </row>
    <row r="3124" spans="1:5" x14ac:dyDescent="0.25">
      <c r="A3124" t="str">
        <f>"**********"</f>
        <v>**********</v>
      </c>
      <c r="B3124" t="str">
        <f>"**************************"</f>
        <v>**************************</v>
      </c>
      <c r="C3124" t="str">
        <f>"***********"</f>
        <v>***********</v>
      </c>
      <c r="D3124" t="str">
        <f>"***************"</f>
        <v>***************</v>
      </c>
      <c r="E3124" t="str">
        <f>"***************"</f>
        <v>***************</v>
      </c>
    </row>
    <row r="3126" spans="1:5" x14ac:dyDescent="0.25">
      <c r="A3126" t="str">
        <f>"730"</f>
        <v>730</v>
      </c>
      <c r="B3126" t="str">
        <f>"Java Třeboň"</f>
        <v>Java Třeboň</v>
      </c>
      <c r="C3126" t="str">
        <f>"15792994"</f>
        <v>15792994</v>
      </c>
    </row>
    <row r="3127" spans="1:5" x14ac:dyDescent="0.25">
      <c r="A3127" t="str">
        <f>"02.11.2011"</f>
        <v>02.11.2011</v>
      </c>
      <c r="B3127" t="str">
        <f>"06.11.2011"</f>
        <v>06.11.2011</v>
      </c>
      <c r="C3127" t="str">
        <f>"08.11.2011"</f>
        <v>08.11.2011</v>
      </c>
      <c r="D3127" t="str">
        <f>"31.988,00"</f>
        <v>31.988,00</v>
      </c>
      <c r="E3127" t="str">
        <f>"31.988,00"</f>
        <v>31.988,00</v>
      </c>
    </row>
    <row r="3130" spans="1:5" x14ac:dyDescent="0.25">
      <c r="A3130" t="str">
        <f>"731"</f>
        <v>731</v>
      </c>
      <c r="B3130" t="str">
        <f>"Hajný-T s.r.o."</f>
        <v>Hajný-T s.r.o.</v>
      </c>
      <c r="C3130" t="str">
        <f>"63886839"</f>
        <v>63886839</v>
      </c>
    </row>
    <row r="3131" spans="1:5" x14ac:dyDescent="0.25">
      <c r="A3131" t="str">
        <f>"02.11.2011"</f>
        <v>02.11.2011</v>
      </c>
      <c r="B3131" t="str">
        <f>"14.11.2011"</f>
        <v>14.11.2011</v>
      </c>
      <c r="C3131" t="str">
        <f>"10.11.2011"</f>
        <v>10.11.2011</v>
      </c>
      <c r="D3131" t="str">
        <f>"2.000,00"</f>
        <v>2.000,00</v>
      </c>
      <c r="E3131" t="str">
        <f>"2.000,00"</f>
        <v>2.000,00</v>
      </c>
    </row>
    <row r="3134" spans="1:5" x14ac:dyDescent="0.25">
      <c r="A3134" t="str">
        <f>"732"</f>
        <v>732</v>
      </c>
      <c r="B3134" t="str">
        <f>"STRABAG a.s. Soběslav"</f>
        <v>STRABAG a.s. Soběslav</v>
      </c>
      <c r="C3134" t="str">
        <f>"60838744"</f>
        <v>60838744</v>
      </c>
    </row>
    <row r="3135" spans="1:5" x14ac:dyDescent="0.25">
      <c r="A3135" t="str">
        <f>"03.11.2011"</f>
        <v>03.11.2011</v>
      </c>
      <c r="B3135" t="str">
        <f>"30.12.2011"</f>
        <v>30.12.2011</v>
      </c>
      <c r="C3135" t="str">
        <f>"08.11.2011"</f>
        <v>08.11.2011</v>
      </c>
      <c r="D3135" t="str">
        <f>"1.198.767,30"</f>
        <v>1.198.767,30</v>
      </c>
      <c r="E3135" t="str">
        <f>"1.198.767,30"</f>
        <v>1.198.767,30</v>
      </c>
    </row>
    <row r="3138" spans="1:5" x14ac:dyDescent="0.25">
      <c r="A3138" t="str">
        <f>"733"</f>
        <v>733</v>
      </c>
      <c r="B3138" t="str">
        <f>"STRABAG a.s. Soběslav"</f>
        <v>STRABAG a.s. Soběslav</v>
      </c>
      <c r="C3138" t="str">
        <f>"60838744"</f>
        <v>60838744</v>
      </c>
    </row>
    <row r="3139" spans="1:5" x14ac:dyDescent="0.25">
      <c r="A3139" t="str">
        <f>"03.11.2011"</f>
        <v>03.11.2011</v>
      </c>
      <c r="B3139" t="str">
        <f>"03.12.2011"</f>
        <v>03.12.2011</v>
      </c>
      <c r="C3139" t="str">
        <f>"10.11.2011"</f>
        <v>10.11.2011</v>
      </c>
      <c r="D3139" t="str">
        <f>"1.196.068,20"</f>
        <v>1.196.068,20</v>
      </c>
      <c r="E3139" t="str">
        <f>"1.196.068,20"</f>
        <v>1.196.068,20</v>
      </c>
    </row>
    <row r="3142" spans="1:5" x14ac:dyDescent="0.25">
      <c r="A3142" t="str">
        <f>"734"</f>
        <v>734</v>
      </c>
      <c r="B3142" t="str">
        <f>"QASAR s.r.o. Mažice"</f>
        <v>QASAR s.r.o. Mažice</v>
      </c>
      <c r="C3142" t="str">
        <f>"25192469"</f>
        <v>25192469</v>
      </c>
    </row>
    <row r="3143" spans="1:5" x14ac:dyDescent="0.25">
      <c r="A3143" t="str">
        <f>"03.11.2011"</f>
        <v>03.11.2011</v>
      </c>
      <c r="B3143" t="str">
        <f>"14.11.2011"</f>
        <v>14.11.2011</v>
      </c>
      <c r="C3143" t="str">
        <f>"10.11.2011"</f>
        <v>10.11.2011</v>
      </c>
      <c r="D3143" t="str">
        <f>"360,00"</f>
        <v>360,00</v>
      </c>
      <c r="E3143" t="str">
        <f>"360,00"</f>
        <v>360,00</v>
      </c>
    </row>
    <row r="3146" spans="1:5" x14ac:dyDescent="0.25">
      <c r="A3146" t="str">
        <f>"735"</f>
        <v>735</v>
      </c>
      <c r="B3146" t="str">
        <f>"ČÚ zeměměřický a katastr."</f>
        <v>ČÚ zeměměřický a katastr.</v>
      </c>
      <c r="C3146" t="str">
        <f>"00025712"</f>
        <v>00025712</v>
      </c>
    </row>
    <row r="3147" spans="1:5" x14ac:dyDescent="0.25">
      <c r="A3147" t="str">
        <f>"03.11.2011"</f>
        <v>03.11.2011</v>
      </c>
      <c r="B3147" t="str">
        <f>"17.11.2011"</f>
        <v>17.11.2011</v>
      </c>
      <c r="C3147" t="str">
        <f>"14.11.2011"</f>
        <v>14.11.2011</v>
      </c>
      <c r="D3147" t="str">
        <f>"2.000,00"</f>
        <v>2.000,00</v>
      </c>
      <c r="E3147" t="str">
        <f>"2.000,00"</f>
        <v>2.000,00</v>
      </c>
    </row>
    <row r="3150" spans="1:5" x14ac:dyDescent="0.25">
      <c r="A3150" t="str">
        <f>"736"</f>
        <v>736</v>
      </c>
      <c r="B3150" t="str">
        <f>"Správa města Soběslavi"</f>
        <v>Správa města Soběslavi</v>
      </c>
      <c r="C3150" t="str">
        <f>"26029987"</f>
        <v>26029987</v>
      </c>
    </row>
    <row r="3151" spans="1:5" x14ac:dyDescent="0.25">
      <c r="A3151" t="str">
        <f>"03.11.2011"</f>
        <v>03.11.2011</v>
      </c>
      <c r="B3151" t="str">
        <f>"17.11.2011"</f>
        <v>17.11.2011</v>
      </c>
      <c r="C3151" t="str">
        <f>"14.11.2011"</f>
        <v>14.11.2011</v>
      </c>
      <c r="D3151" t="str">
        <f>"10.307,00"</f>
        <v>10.307,00</v>
      </c>
      <c r="E3151" t="str">
        <f>"10.307,00"</f>
        <v>10.307,00</v>
      </c>
    </row>
    <row r="3154" spans="1:5" x14ac:dyDescent="0.25">
      <c r="A3154" t="str">
        <f>"737"</f>
        <v>737</v>
      </c>
      <c r="B3154" t="str">
        <f>"QASAR s.r.o. Mažice"</f>
        <v>QASAR s.r.o. Mažice</v>
      </c>
      <c r="C3154" t="str">
        <f>"25192469"</f>
        <v>25192469</v>
      </c>
    </row>
    <row r="3155" spans="1:5" x14ac:dyDescent="0.25">
      <c r="A3155" t="str">
        <f>"03.11.2011"</f>
        <v>03.11.2011</v>
      </c>
      <c r="B3155" t="str">
        <f>"30.11.2011"</f>
        <v>30.11.2011</v>
      </c>
      <c r="C3155" t="str">
        <f>"24.11.2011"</f>
        <v>24.11.2011</v>
      </c>
      <c r="D3155" t="str">
        <f>"4.800,00"</f>
        <v>4.800,00</v>
      </c>
      <c r="E3155" t="str">
        <f>"4.800,00"</f>
        <v>4.800,00</v>
      </c>
    </row>
    <row r="3158" spans="1:5" x14ac:dyDescent="0.25">
      <c r="A3158" t="str">
        <f>"738"</f>
        <v>738</v>
      </c>
      <c r="B3158" t="str">
        <f>"RUMPOLD s.r.o. Tábor"</f>
        <v>RUMPOLD s.r.o. Tábor</v>
      </c>
      <c r="C3158" t="str">
        <f>"61459364"</f>
        <v>61459364</v>
      </c>
    </row>
    <row r="3159" spans="1:5" x14ac:dyDescent="0.25">
      <c r="A3159" t="str">
        <f>"03.11.2011"</f>
        <v>03.11.2011</v>
      </c>
      <c r="B3159" t="str">
        <f>"30.11.2011"</f>
        <v>30.11.2011</v>
      </c>
      <c r="C3159" t="str">
        <f>"24.11.2011"</f>
        <v>24.11.2011</v>
      </c>
      <c r="D3159" t="str">
        <f>"5.189,00"</f>
        <v>5.189,00</v>
      </c>
      <c r="E3159" t="str">
        <f>"5.189,00"</f>
        <v>5.189,00</v>
      </c>
    </row>
    <row r="3162" spans="1:5" x14ac:dyDescent="0.25">
      <c r="A3162" t="str">
        <f>"739"</f>
        <v>739</v>
      </c>
      <c r="B3162" t="str">
        <f>"Dopravní stavby HP Bohemi"</f>
        <v>Dopravní stavby HP Bohemi</v>
      </c>
      <c r="C3162" t="str">
        <f>"25161601"</f>
        <v>25161601</v>
      </c>
    </row>
    <row r="3163" spans="1:5" x14ac:dyDescent="0.25">
      <c r="A3163" t="str">
        <f>"04.11.2011"</f>
        <v>04.11.2011</v>
      </c>
      <c r="B3163" t="str">
        <f>"14.11.2011"</f>
        <v>14.11.2011</v>
      </c>
      <c r="C3163" t="str">
        <f>"11.11.2011"</f>
        <v>11.11.2011</v>
      </c>
      <c r="D3163" t="str">
        <f>"44.349,00"</f>
        <v>44.349,00</v>
      </c>
      <c r="E3163" t="str">
        <f>"44.349,00"</f>
        <v>44.349,00</v>
      </c>
    </row>
    <row r="3166" spans="1:5" x14ac:dyDescent="0.25">
      <c r="A3166" t="str">
        <f>"740"</f>
        <v>740</v>
      </c>
      <c r="B3166" t="str">
        <f>"Dřevovýroba Vaněk s.r.o."</f>
        <v>Dřevovýroba Vaněk s.r.o.</v>
      </c>
      <c r="C3166" t="str">
        <f>"26088282"</f>
        <v>26088282</v>
      </c>
    </row>
    <row r="3167" spans="1:5" x14ac:dyDescent="0.25">
      <c r="A3167" t="str">
        <f>"04.11.2011"</f>
        <v>04.11.2011</v>
      </c>
      <c r="B3167" t="str">
        <f>"16.11.2011"</f>
        <v>16.11.2011</v>
      </c>
      <c r="C3167" t="str">
        <f>"11.11.2011"</f>
        <v>11.11.2011</v>
      </c>
      <c r="D3167" t="str">
        <f>"44.814,00"</f>
        <v>44.814,00</v>
      </c>
      <c r="E3167" t="str">
        <f>"44.814,00"</f>
        <v>44.814,00</v>
      </c>
    </row>
    <row r="3170" spans="1:5" x14ac:dyDescent="0.25">
      <c r="A3170" t="str">
        <f>"741"</f>
        <v>741</v>
      </c>
      <c r="B3170" t="str">
        <f>"Reklamní ateliér s.r.o."</f>
        <v>Reklamní ateliér s.r.o.</v>
      </c>
      <c r="C3170" t="str">
        <f>"46683160"</f>
        <v>46683160</v>
      </c>
    </row>
    <row r="3171" spans="1:5" x14ac:dyDescent="0.25">
      <c r="A3171" t="str">
        <f>"07.11.2011"</f>
        <v>07.11.2011</v>
      </c>
      <c r="B3171" t="str">
        <f>"18.10.2011"</f>
        <v>18.10.2011</v>
      </c>
      <c r="C3171" t="str">
        <f>"11.11.2011"</f>
        <v>11.11.2011</v>
      </c>
      <c r="D3171" t="str">
        <f>"1.002,00"</f>
        <v>1.002,00</v>
      </c>
      <c r="E3171" t="str">
        <f>"1.002,00"</f>
        <v>1.002,00</v>
      </c>
    </row>
    <row r="3174" spans="1:5" x14ac:dyDescent="0.25">
      <c r="A3174" t="str">
        <f>"742"</f>
        <v>742</v>
      </c>
      <c r="B3174" t="str">
        <f>"Chališ Tábor"</f>
        <v>Chališ Tábor</v>
      </c>
      <c r="C3174" t="str">
        <f>"42360412"</f>
        <v>42360412</v>
      </c>
    </row>
    <row r="3175" spans="1:5" x14ac:dyDescent="0.25">
      <c r="A3175" t="str">
        <f>"07.11.2011"</f>
        <v>07.11.2011</v>
      </c>
      <c r="B3175" t="str">
        <f>"14.11.2011"</f>
        <v>14.11.2011</v>
      </c>
      <c r="C3175" t="str">
        <f>"11.11.2011"</f>
        <v>11.11.2011</v>
      </c>
      <c r="D3175" t="str">
        <f>"478.011,00"</f>
        <v>478.011,00</v>
      </c>
      <c r="E3175" t="str">
        <f>"478.011,00"</f>
        <v>478.011,00</v>
      </c>
    </row>
    <row r="3178" spans="1:5" x14ac:dyDescent="0.25">
      <c r="A3178" t="str">
        <f>"743"</f>
        <v>743</v>
      </c>
      <c r="B3178" t="str">
        <f>"Česká pošta ,s.p. Praha 1"</f>
        <v>Česká pošta ,s.p. Praha 1</v>
      </c>
      <c r="C3178" t="str">
        <f>"47114983"</f>
        <v>47114983</v>
      </c>
    </row>
    <row r="3179" spans="1:5" x14ac:dyDescent="0.25">
      <c r="A3179" t="str">
        <f>"07.11.2011"</f>
        <v>07.11.2011</v>
      </c>
      <c r="B3179" t="str">
        <f>"18.11.2011"</f>
        <v>18.11.2011</v>
      </c>
      <c r="C3179" t="str">
        <f>"15.11.2011"</f>
        <v>15.11.2011</v>
      </c>
      <c r="D3179" t="str">
        <f>"42.762,00"</f>
        <v>42.762,00</v>
      </c>
      <c r="E3179" t="str">
        <f>"42.762,00"</f>
        <v>42.762,00</v>
      </c>
    </row>
    <row r="3181" spans="1:5" x14ac:dyDescent="0.25">
      <c r="A3181" t="str">
        <f>"Poř.č.fak."</f>
        <v>Poř.č.fak.</v>
      </c>
      <c r="B3181" t="str">
        <f>"Dodavatel"</f>
        <v>Dodavatel</v>
      </c>
      <c r="C3181" t="str">
        <f>"IČO"</f>
        <v>IČO</v>
      </c>
    </row>
    <row r="3182" spans="1:5" x14ac:dyDescent="0.25">
      <c r="A3182" t="str">
        <f>"Došla"</f>
        <v>Došla</v>
      </c>
      <c r="B3182" t="str">
        <f>"Splatná"</f>
        <v>Splatná</v>
      </c>
      <c r="C3182" t="str">
        <f>"Zaplacená"</f>
        <v>Zaplacená</v>
      </c>
      <c r="D3182" t="str">
        <f>"Fakt.částka"</f>
        <v>Fakt.částka</v>
      </c>
      <c r="E3182" t="str">
        <f>"Celk.zaplaceno"</f>
        <v>Celk.zaplaceno</v>
      </c>
    </row>
    <row r="3183" spans="1:5" x14ac:dyDescent="0.25">
      <c r="B3183" t="str">
        <f>"Poznámka"</f>
        <v>Poznámka</v>
      </c>
    </row>
    <row r="3184" spans="1:5" x14ac:dyDescent="0.25">
      <c r="A3184" t="str">
        <f>"**********"</f>
        <v>**********</v>
      </c>
      <c r="B3184" t="str">
        <f>"**************************"</f>
        <v>**************************</v>
      </c>
      <c r="C3184" t="str">
        <f>"***********"</f>
        <v>***********</v>
      </c>
      <c r="D3184" t="str">
        <f>"***************"</f>
        <v>***************</v>
      </c>
      <c r="E3184" t="str">
        <f>"***************"</f>
        <v>***************</v>
      </c>
    </row>
    <row r="3186" spans="1:5" x14ac:dyDescent="0.25">
      <c r="A3186" t="str">
        <f>"744"</f>
        <v>744</v>
      </c>
      <c r="B3186" t="str">
        <f>"BENZINA ,s.r.o. Praha 4"</f>
        <v>BENZINA ,s.r.o. Praha 4</v>
      </c>
      <c r="C3186" t="str">
        <f>"60193328"</f>
        <v>60193328</v>
      </c>
    </row>
    <row r="3187" spans="1:5" x14ac:dyDescent="0.25">
      <c r="A3187" t="str">
        <f>"08.11.2011"</f>
        <v>08.11.2011</v>
      </c>
      <c r="B3187" t="str">
        <f>"07.11.2011"</f>
        <v>07.11.2011</v>
      </c>
      <c r="C3187" t="str">
        <f>"07.11.2011"</f>
        <v>07.11.2011</v>
      </c>
      <c r="D3187" t="str">
        <f>"16.374,09"</f>
        <v>16.374,09</v>
      </c>
      <c r="E3187" t="str">
        <f>"16.374,09"</f>
        <v>16.374,09</v>
      </c>
    </row>
    <row r="3190" spans="1:5" x14ac:dyDescent="0.25">
      <c r="A3190" t="str">
        <f>"745"</f>
        <v>745</v>
      </c>
      <c r="B3190" t="str">
        <f>"JIHOSTAV s.r.o. Soběslav"</f>
        <v>JIHOSTAV s.r.o. Soběslav</v>
      </c>
      <c r="C3190" t="str">
        <f>"47239484"</f>
        <v>47239484</v>
      </c>
    </row>
    <row r="3191" spans="1:5" x14ac:dyDescent="0.25">
      <c r="A3191" t="str">
        <f>"08.11.2011"</f>
        <v>08.11.2011</v>
      </c>
      <c r="B3191" t="str">
        <f>"14.11.2011"</f>
        <v>14.11.2011</v>
      </c>
      <c r="C3191" t="str">
        <f>"11.11.2011"</f>
        <v>11.11.2011</v>
      </c>
      <c r="D3191" t="str">
        <f>"122.119,00"</f>
        <v>122.119,00</v>
      </c>
      <c r="E3191" t="str">
        <f>"122.119,00"</f>
        <v>122.119,00</v>
      </c>
    </row>
    <row r="3194" spans="1:5" x14ac:dyDescent="0.25">
      <c r="A3194" t="str">
        <f>"746"</f>
        <v>746</v>
      </c>
      <c r="B3194" t="str">
        <f>"Telefónica 02 CR, a.s."</f>
        <v>Telefónica 02 CR, a.s.</v>
      </c>
      <c r="C3194" t="str">
        <f>"60193336"</f>
        <v>60193336</v>
      </c>
    </row>
    <row r="3195" spans="1:5" x14ac:dyDescent="0.25">
      <c r="A3195" t="str">
        <f>"08.11.2011"</f>
        <v>08.11.2011</v>
      </c>
      <c r="B3195" t="str">
        <f>"16.11.2011"</f>
        <v>16.11.2011</v>
      </c>
      <c r="C3195" t="str">
        <f>"11.11.2011"</f>
        <v>11.11.2011</v>
      </c>
      <c r="D3195" t="str">
        <f>"38,82"</f>
        <v>38,82</v>
      </c>
      <c r="E3195" t="str">
        <f>"38,82"</f>
        <v>38,82</v>
      </c>
    </row>
    <row r="3198" spans="1:5" x14ac:dyDescent="0.25">
      <c r="A3198" t="str">
        <f>"747"</f>
        <v>747</v>
      </c>
      <c r="B3198" t="str">
        <f>"TJ SPARTAK Soběslav"</f>
        <v>TJ SPARTAK Soběslav</v>
      </c>
      <c r="C3198" t="str">
        <f>"46632191"</f>
        <v>46632191</v>
      </c>
    </row>
    <row r="3199" spans="1:5" x14ac:dyDescent="0.25">
      <c r="A3199" t="str">
        <f>"08.11.2011"</f>
        <v>08.11.2011</v>
      </c>
      <c r="B3199" t="str">
        <f>"18.11.2011"</f>
        <v>18.11.2011</v>
      </c>
      <c r="C3199" t="str">
        <f>"15.11.2011"</f>
        <v>15.11.2011</v>
      </c>
      <c r="D3199" t="str">
        <f>"3.570,00"</f>
        <v>3.570,00</v>
      </c>
      <c r="E3199" t="str">
        <f>"3.570,00"</f>
        <v>3.570,00</v>
      </c>
    </row>
    <row r="3202" spans="1:5" x14ac:dyDescent="0.25">
      <c r="A3202" t="str">
        <f>"748"</f>
        <v>748</v>
      </c>
      <c r="B3202" t="str">
        <f>"Telefónica 02 CR a.s."</f>
        <v>Telefónica 02 CR a.s.</v>
      </c>
      <c r="C3202" t="str">
        <f>"60193336"</f>
        <v>60193336</v>
      </c>
    </row>
    <row r="3203" spans="1:5" x14ac:dyDescent="0.25">
      <c r="A3203" t="str">
        <f>"08.11.2011"</f>
        <v>08.11.2011</v>
      </c>
      <c r="B3203" t="str">
        <f>"18.11.2011"</f>
        <v>18.11.2011</v>
      </c>
      <c r="C3203" t="str">
        <f>"14.11.2011"</f>
        <v>14.11.2011</v>
      </c>
      <c r="D3203" t="str">
        <f>"3.694,85"</f>
        <v>3.694,85</v>
      </c>
      <c r="E3203" t="str">
        <f>"3.694,85"</f>
        <v>3.694,85</v>
      </c>
    </row>
    <row r="3206" spans="1:5" x14ac:dyDescent="0.25">
      <c r="A3206" t="str">
        <f>"749"</f>
        <v>749</v>
      </c>
      <c r="B3206" t="str">
        <f>"GEOVAP s.r.o. Pardubice"</f>
        <v>GEOVAP s.r.o. Pardubice</v>
      </c>
      <c r="C3206" t="str">
        <f>"15049248"</f>
        <v>15049248</v>
      </c>
    </row>
    <row r="3207" spans="1:5" x14ac:dyDescent="0.25">
      <c r="A3207" t="str">
        <f>"08.11.2011"</f>
        <v>08.11.2011</v>
      </c>
      <c r="B3207" t="str">
        <f>"19.11.2011"</f>
        <v>19.11.2011</v>
      </c>
      <c r="C3207" t="str">
        <f>"15.11.2011"</f>
        <v>15.11.2011</v>
      </c>
      <c r="D3207" t="str">
        <f>"2.000,00"</f>
        <v>2.000,00</v>
      </c>
      <c r="E3207" t="str">
        <f>"2.000,00"</f>
        <v>2.000,00</v>
      </c>
    </row>
    <row r="3210" spans="1:5" x14ac:dyDescent="0.25">
      <c r="A3210" t="str">
        <f>"750"</f>
        <v>750</v>
      </c>
      <c r="B3210" t="str">
        <f>"GEOVAP s.r.o. Pardubice"</f>
        <v>GEOVAP s.r.o. Pardubice</v>
      </c>
      <c r="C3210" t="str">
        <f>"15049248"</f>
        <v>15049248</v>
      </c>
    </row>
    <row r="3211" spans="1:5" x14ac:dyDescent="0.25">
      <c r="A3211" t="str">
        <f>"08.11.2011"</f>
        <v>08.11.2011</v>
      </c>
      <c r="B3211" t="str">
        <f>"19.11.2011"</f>
        <v>19.11.2011</v>
      </c>
      <c r="C3211" t="str">
        <f>"15.11.2011"</f>
        <v>15.11.2011</v>
      </c>
      <c r="D3211" t="str">
        <f>"5.010,00"</f>
        <v>5.010,00</v>
      </c>
      <c r="E3211" t="str">
        <f>"5.010,00"</f>
        <v>5.010,00</v>
      </c>
    </row>
    <row r="3214" spans="1:5" x14ac:dyDescent="0.25">
      <c r="A3214" t="str">
        <f>"751"</f>
        <v>751</v>
      </c>
      <c r="B3214" t="str">
        <f>"LESPROJEKT Stará Boleslav"</f>
        <v>LESPROJEKT Stará Boleslav</v>
      </c>
      <c r="C3214" t="str">
        <f>"25065602"</f>
        <v>25065602</v>
      </c>
    </row>
    <row r="3215" spans="1:5" x14ac:dyDescent="0.25">
      <c r="A3215" t="str">
        <f>"08.11.2011"</f>
        <v>08.11.2011</v>
      </c>
      <c r="B3215" t="str">
        <f>"21.11.2011"</f>
        <v>21.11.2011</v>
      </c>
      <c r="C3215" t="str">
        <f>"21.11.2011"</f>
        <v>21.11.2011</v>
      </c>
      <c r="D3215" t="str">
        <f>"335.344,20"</f>
        <v>335.344,20</v>
      </c>
      <c r="E3215" t="str">
        <f>"335.344,20"</f>
        <v>335.344,20</v>
      </c>
    </row>
    <row r="3218" spans="1:5" x14ac:dyDescent="0.25">
      <c r="A3218" t="str">
        <f>"752"</f>
        <v>752</v>
      </c>
      <c r="B3218" t="str">
        <f>"Správa města Soběslavi"</f>
        <v>Správa města Soběslavi</v>
      </c>
      <c r="C3218" t="str">
        <f>"26029987"</f>
        <v>26029987</v>
      </c>
    </row>
    <row r="3219" spans="1:5" x14ac:dyDescent="0.25">
      <c r="A3219" t="str">
        <f>"08.11.2011"</f>
        <v>08.11.2011</v>
      </c>
      <c r="B3219" t="str">
        <f>"21.11.2011"</f>
        <v>21.11.2011</v>
      </c>
      <c r="C3219" t="str">
        <f>"16.11.2011"</f>
        <v>16.11.2011</v>
      </c>
      <c r="D3219" t="str">
        <f>"940.000,00"</f>
        <v>940.000,00</v>
      </c>
      <c r="E3219" t="str">
        <f>"940.000,00"</f>
        <v>940.000,00</v>
      </c>
    </row>
    <row r="3222" spans="1:5" x14ac:dyDescent="0.25">
      <c r="A3222" t="str">
        <f>"753"</f>
        <v>753</v>
      </c>
      <c r="B3222" t="str">
        <f>"Česká pošta, s.p. Praha"</f>
        <v>Česká pošta, s.p. Praha</v>
      </c>
      <c r="C3222" t="str">
        <f>"47114983"</f>
        <v>47114983</v>
      </c>
    </row>
    <row r="3223" spans="1:5" x14ac:dyDescent="0.25">
      <c r="A3223" t="str">
        <f>"08.11.2011"</f>
        <v>08.11.2011</v>
      </c>
      <c r="B3223" t="str">
        <f>"22.11.2011"</f>
        <v>22.11.2011</v>
      </c>
      <c r="C3223" t="str">
        <f>"16.11.2011"</f>
        <v>16.11.2011</v>
      </c>
      <c r="D3223" t="str">
        <f>"828,00"</f>
        <v>828,00</v>
      </c>
      <c r="E3223" t="str">
        <f>"828,00"</f>
        <v>828,00</v>
      </c>
    </row>
    <row r="3226" spans="1:5" x14ac:dyDescent="0.25">
      <c r="A3226" t="str">
        <f>"754"</f>
        <v>754</v>
      </c>
      <c r="B3226" t="str">
        <f>"Telefónica 02 CR, a.s."</f>
        <v>Telefónica 02 CR, a.s.</v>
      </c>
      <c r="C3226" t="str">
        <f>"60193336"</f>
        <v>60193336</v>
      </c>
    </row>
    <row r="3227" spans="1:5" x14ac:dyDescent="0.25">
      <c r="A3227" t="str">
        <f>"09.11.2011"</f>
        <v>09.11.2011</v>
      </c>
      <c r="B3227" t="str">
        <f>"16.11.2011"</f>
        <v>16.11.2011</v>
      </c>
      <c r="C3227" t="str">
        <f>"16.11.2011"</f>
        <v>16.11.2011</v>
      </c>
      <c r="D3227" t="str">
        <f>"21.261,07"</f>
        <v>21.261,07</v>
      </c>
      <c r="E3227" t="str">
        <f>"21.261,07"</f>
        <v>21.261,07</v>
      </c>
    </row>
    <row r="3230" spans="1:5" x14ac:dyDescent="0.25">
      <c r="A3230" t="str">
        <f>"755"</f>
        <v>755</v>
      </c>
      <c r="B3230" t="str">
        <f>"Telefónica 02 CR a.s."</f>
        <v>Telefónica 02 CR a.s.</v>
      </c>
      <c r="C3230" t="str">
        <f>"60193336"</f>
        <v>60193336</v>
      </c>
    </row>
    <row r="3231" spans="1:5" x14ac:dyDescent="0.25">
      <c r="A3231" t="str">
        <f>"09.11.2011"</f>
        <v>09.11.2011</v>
      </c>
      <c r="B3231" t="str">
        <f>"18.11.2011"</f>
        <v>18.11.2011</v>
      </c>
      <c r="C3231" t="str">
        <f>"14.11.2011"</f>
        <v>14.11.2011</v>
      </c>
      <c r="D3231" t="str">
        <f>"1,20"</f>
        <v>1,20</v>
      </c>
      <c r="E3231" t="str">
        <f>"1,20"</f>
        <v>1,20</v>
      </c>
    </row>
    <row r="3234" spans="1:5" x14ac:dyDescent="0.25">
      <c r="A3234" t="str">
        <f>"756"</f>
        <v>756</v>
      </c>
      <c r="B3234" t="str">
        <f>"Telefónica 02 CR a.s."</f>
        <v>Telefónica 02 CR a.s.</v>
      </c>
      <c r="C3234" t="str">
        <f>"60193336"</f>
        <v>60193336</v>
      </c>
    </row>
    <row r="3235" spans="1:5" x14ac:dyDescent="0.25">
      <c r="A3235" t="str">
        <f>"09.11.2011"</f>
        <v>09.11.2011</v>
      </c>
      <c r="B3235" t="str">
        <f>"18.11.2011"</f>
        <v>18.11.2011</v>
      </c>
      <c r="C3235" t="str">
        <f>"14.11.2011"</f>
        <v>14.11.2011</v>
      </c>
      <c r="D3235" t="str">
        <f>"631,21"</f>
        <v>631,21</v>
      </c>
      <c r="E3235" t="str">
        <f>"631,21"</f>
        <v>631,21</v>
      </c>
    </row>
    <row r="3238" spans="1:5" x14ac:dyDescent="0.25">
      <c r="A3238" t="str">
        <f>"757"</f>
        <v>757</v>
      </c>
      <c r="B3238" t="str">
        <f>"Sodexo Pass ČR a.s. Praha"</f>
        <v>Sodexo Pass ČR a.s. Praha</v>
      </c>
      <c r="C3238" t="str">
        <f>"61860476"</f>
        <v>61860476</v>
      </c>
    </row>
    <row r="3239" spans="1:5" x14ac:dyDescent="0.25">
      <c r="A3239" t="str">
        <f>"09.11.2011"</f>
        <v>09.11.2011</v>
      </c>
      <c r="B3239" t="str">
        <f>"21.11.2011"</f>
        <v>21.11.2011</v>
      </c>
      <c r="C3239" t="str">
        <f>"16.11.2011"</f>
        <v>16.11.2011</v>
      </c>
      <c r="D3239" t="str">
        <f>"40.204,00"</f>
        <v>40.204,00</v>
      </c>
      <c r="E3239" t="str">
        <f>"40.204,00"</f>
        <v>40.204,00</v>
      </c>
    </row>
    <row r="3241" spans="1:5" x14ac:dyDescent="0.25">
      <c r="A3241" t="str">
        <f>"Poř.č.fak."</f>
        <v>Poř.č.fak.</v>
      </c>
      <c r="B3241" t="str">
        <f>"Dodavatel"</f>
        <v>Dodavatel</v>
      </c>
      <c r="C3241" t="str">
        <f>"IČO"</f>
        <v>IČO</v>
      </c>
    </row>
    <row r="3242" spans="1:5" x14ac:dyDescent="0.25">
      <c r="A3242" t="str">
        <f>"Došla"</f>
        <v>Došla</v>
      </c>
      <c r="B3242" t="str">
        <f>"Splatná"</f>
        <v>Splatná</v>
      </c>
      <c r="C3242" t="str">
        <f>"Zaplacená"</f>
        <v>Zaplacená</v>
      </c>
      <c r="D3242" t="str">
        <f>"Fakt.částka"</f>
        <v>Fakt.částka</v>
      </c>
      <c r="E3242" t="str">
        <f>"Celk.zaplaceno"</f>
        <v>Celk.zaplaceno</v>
      </c>
    </row>
    <row r="3243" spans="1:5" x14ac:dyDescent="0.25">
      <c r="B3243" t="str">
        <f>"Poznámka"</f>
        <v>Poznámka</v>
      </c>
    </row>
    <row r="3244" spans="1:5" x14ac:dyDescent="0.25">
      <c r="A3244" t="str">
        <f>"**********"</f>
        <v>**********</v>
      </c>
      <c r="B3244" t="str">
        <f>"**************************"</f>
        <v>**************************</v>
      </c>
      <c r="C3244" t="str">
        <f>"***********"</f>
        <v>***********</v>
      </c>
      <c r="D3244" t="str">
        <f>"***************"</f>
        <v>***************</v>
      </c>
      <c r="E3244" t="str">
        <f>"***************"</f>
        <v>***************</v>
      </c>
    </row>
    <row r="3246" spans="1:5" x14ac:dyDescent="0.25">
      <c r="A3246" t="str">
        <f>"758"</f>
        <v>758</v>
      </c>
      <c r="B3246" t="str">
        <f>"VIALIT Soběslav"</f>
        <v>VIALIT Soběslav</v>
      </c>
      <c r="C3246" t="str">
        <f>"14504456"</f>
        <v>14504456</v>
      </c>
    </row>
    <row r="3247" spans="1:5" x14ac:dyDescent="0.25">
      <c r="A3247" t="str">
        <f>"09.11.2011"</f>
        <v>09.11.2011</v>
      </c>
      <c r="B3247" t="str">
        <f>"22.11.2011"</f>
        <v>22.11.2011</v>
      </c>
      <c r="C3247" t="str">
        <f>"16.11.2011"</f>
        <v>16.11.2011</v>
      </c>
      <c r="D3247" t="str">
        <f>"57.030,00"</f>
        <v>57.030,00</v>
      </c>
      <c r="E3247" t="str">
        <f>"57.030,00"</f>
        <v>57.030,00</v>
      </c>
    </row>
    <row r="3250" spans="1:5" x14ac:dyDescent="0.25">
      <c r="A3250" t="str">
        <f>"759"</f>
        <v>759</v>
      </c>
      <c r="B3250" t="str">
        <f>"VIALIT Soběslav"</f>
        <v>VIALIT Soběslav</v>
      </c>
      <c r="C3250" t="str">
        <f>"14504456"</f>
        <v>14504456</v>
      </c>
    </row>
    <row r="3251" spans="1:5" x14ac:dyDescent="0.25">
      <c r="A3251" t="str">
        <f>"09.11.2011"</f>
        <v>09.11.2011</v>
      </c>
      <c r="B3251" t="str">
        <f>"22.11.2011"</f>
        <v>22.11.2011</v>
      </c>
      <c r="C3251" t="str">
        <f>"16.11.2011"</f>
        <v>16.11.2011</v>
      </c>
      <c r="D3251" t="str">
        <f>"146.046,00"</f>
        <v>146.046,00</v>
      </c>
      <c r="E3251" t="str">
        <f>"146.046,00"</f>
        <v>146.046,00</v>
      </c>
    </row>
    <row r="3254" spans="1:5" x14ac:dyDescent="0.25">
      <c r="A3254" t="str">
        <f>"760"</f>
        <v>760</v>
      </c>
      <c r="B3254" t="str">
        <f>"T.O.D.O.K. s.r.o.Soběslav"</f>
        <v>T.O.D.O.K. s.r.o.Soběslav</v>
      </c>
      <c r="C3254" t="str">
        <f>"48201936"</f>
        <v>48201936</v>
      </c>
    </row>
    <row r="3255" spans="1:5" x14ac:dyDescent="0.25">
      <c r="A3255" t="str">
        <f>"11.11.2011"</f>
        <v>11.11.2011</v>
      </c>
      <c r="B3255" t="str">
        <f>"31.01.2012"</f>
        <v>31.01.2012</v>
      </c>
      <c r="C3255" t="str">
        <f>"07.12.2011"</f>
        <v>07.12.2011</v>
      </c>
      <c r="D3255" t="str">
        <f>"252.780,00"</f>
        <v>252.780,00</v>
      </c>
      <c r="E3255" t="str">
        <f>"252.780,00"</f>
        <v>252.780,00</v>
      </c>
    </row>
    <row r="3258" spans="1:5" x14ac:dyDescent="0.25">
      <c r="A3258" t="str">
        <f>"761"</f>
        <v>761</v>
      </c>
      <c r="B3258" t="str">
        <f>"DCS Systems,s.r.o. Praha"</f>
        <v>DCS Systems,s.r.o. Praha</v>
      </c>
      <c r="C3258" t="str">
        <f>"26178842"</f>
        <v>26178842</v>
      </c>
    </row>
    <row r="3259" spans="1:5" x14ac:dyDescent="0.25">
      <c r="A3259" t="str">
        <f>"10.11.2011"</f>
        <v>10.11.2011</v>
      </c>
      <c r="B3259" t="str">
        <f>"10.11.2011"</f>
        <v>10.11.2011</v>
      </c>
      <c r="C3259" t="str">
        <f>"15.11.2011"</f>
        <v>15.11.2011</v>
      </c>
      <c r="D3259" t="str">
        <f>"1.200,00"</f>
        <v>1.200,00</v>
      </c>
      <c r="E3259" t="str">
        <f>"1.200,00"</f>
        <v>1.200,00</v>
      </c>
    </row>
    <row r="3262" spans="1:5" x14ac:dyDescent="0.25">
      <c r="A3262" t="str">
        <f>"762"</f>
        <v>762</v>
      </c>
      <c r="B3262" t="str">
        <f>"Česká pošta ,s.p. Praha 1"</f>
        <v>Česká pošta ,s.p. Praha 1</v>
      </c>
      <c r="C3262" t="str">
        <f>"47114983"</f>
        <v>47114983</v>
      </c>
    </row>
    <row r="3263" spans="1:5" x14ac:dyDescent="0.25">
      <c r="A3263" t="str">
        <f>"10.11.2011"</f>
        <v>10.11.2011</v>
      </c>
      <c r="B3263" t="str">
        <f>"21.11.2011"</f>
        <v>21.11.2011</v>
      </c>
      <c r="C3263" t="str">
        <f>"15.11.2011"</f>
        <v>15.11.2011</v>
      </c>
      <c r="D3263" t="str">
        <f>"414,00"</f>
        <v>414,00</v>
      </c>
      <c r="E3263" t="str">
        <f>"414,00"</f>
        <v>414,00</v>
      </c>
    </row>
    <row r="3266" spans="1:5" x14ac:dyDescent="0.25">
      <c r="A3266" t="str">
        <f>"763"</f>
        <v>763</v>
      </c>
      <c r="B3266" t="str">
        <f>"Ing. Martin Rybář Veselí"</f>
        <v>Ing. Martin Rybář Veselí</v>
      </c>
      <c r="C3266" t="str">
        <f>"48246948"</f>
        <v>48246948</v>
      </c>
    </row>
    <row r="3267" spans="1:5" x14ac:dyDescent="0.25">
      <c r="A3267" t="str">
        <f>"10.11.2011"</f>
        <v>10.11.2011</v>
      </c>
      <c r="B3267" t="str">
        <f>"23.11.2011"</f>
        <v>23.11.2011</v>
      </c>
      <c r="C3267" t="str">
        <f>"21.11.2011"</f>
        <v>21.11.2011</v>
      </c>
      <c r="D3267" t="str">
        <f>"5.500,00"</f>
        <v>5.500,00</v>
      </c>
      <c r="E3267" t="str">
        <f>"5.500,00"</f>
        <v>5.500,00</v>
      </c>
    </row>
    <row r="3270" spans="1:5" x14ac:dyDescent="0.25">
      <c r="A3270" t="str">
        <f>"764"</f>
        <v>764</v>
      </c>
      <c r="B3270" t="str">
        <f>"Autoservis U Sloupu"</f>
        <v>Autoservis U Sloupu</v>
      </c>
      <c r="C3270" t="str">
        <f>"73508969"</f>
        <v>73508969</v>
      </c>
    </row>
    <row r="3271" spans="1:5" x14ac:dyDescent="0.25">
      <c r="A3271" t="str">
        <f>"11.11.2011"</f>
        <v>11.11.2011</v>
      </c>
      <c r="B3271" t="str">
        <f>"23.11.2011"</f>
        <v>23.11.2011</v>
      </c>
      <c r="C3271" t="str">
        <f>"21.11.2011"</f>
        <v>21.11.2011</v>
      </c>
      <c r="D3271" t="str">
        <f>"1.628,00"</f>
        <v>1.628,00</v>
      </c>
      <c r="E3271" t="str">
        <f>"1.628,00"</f>
        <v>1.628,00</v>
      </c>
    </row>
    <row r="3274" spans="1:5" x14ac:dyDescent="0.25">
      <c r="A3274" t="str">
        <f>"765"</f>
        <v>765</v>
      </c>
      <c r="B3274" t="str">
        <f>"Ing. Fiala Boh. Soběslav"</f>
        <v>Ing. Fiala Boh. Soběslav</v>
      </c>
      <c r="C3274" t="str">
        <f>"15781038"</f>
        <v>15781038</v>
      </c>
    </row>
    <row r="3275" spans="1:5" x14ac:dyDescent="0.25">
      <c r="A3275" t="str">
        <f>"11.11.2011"</f>
        <v>11.11.2011</v>
      </c>
      <c r="B3275" t="str">
        <f>"24.11.2011"</f>
        <v>24.11.2011</v>
      </c>
      <c r="C3275" t="str">
        <f>"22.11.2011"</f>
        <v>22.11.2011</v>
      </c>
      <c r="D3275" t="str">
        <f>"1.500,00"</f>
        <v>1.500,00</v>
      </c>
      <c r="E3275" t="str">
        <f>"1.500,00"</f>
        <v>1.500,00</v>
      </c>
    </row>
    <row r="3278" spans="1:5" x14ac:dyDescent="0.25">
      <c r="A3278" t="str">
        <f>"766"</f>
        <v>766</v>
      </c>
      <c r="B3278" t="str">
        <f>"STRABAG a.s. Soběslav"</f>
        <v>STRABAG a.s. Soběslav</v>
      </c>
      <c r="C3278" t="str">
        <f>"60838744"</f>
        <v>60838744</v>
      </c>
    </row>
    <row r="3279" spans="1:5" x14ac:dyDescent="0.25">
      <c r="A3279" t="str">
        <f>"11.11.2011"</f>
        <v>11.11.2011</v>
      </c>
      <c r="B3279" t="str">
        <f>"24.11.2011"</f>
        <v>24.11.2011</v>
      </c>
      <c r="C3279" t="str">
        <f>"22.11.2011"</f>
        <v>22.11.2011</v>
      </c>
      <c r="D3279" t="str">
        <f>"44.323,00"</f>
        <v>44.323,00</v>
      </c>
      <c r="E3279" t="str">
        <f>"44.323,00"</f>
        <v>44.323,00</v>
      </c>
    </row>
    <row r="3282" spans="1:5" x14ac:dyDescent="0.25">
      <c r="A3282" t="str">
        <f>"767"</f>
        <v>767</v>
      </c>
      <c r="B3282" t="str">
        <f>"MUDr. Menglerová Soběslav"</f>
        <v>MUDr. Menglerová Soběslav</v>
      </c>
      <c r="C3282" t="str">
        <f>"46631992"</f>
        <v>46631992</v>
      </c>
    </row>
    <row r="3283" spans="1:5" x14ac:dyDescent="0.25">
      <c r="A3283" t="str">
        <f>"14.11.2011"</f>
        <v>14.11.2011</v>
      </c>
      <c r="B3283" t="str">
        <f>"24.11.2011"</f>
        <v>24.11.2011</v>
      </c>
      <c r="C3283" t="str">
        <f>"22.11.2011"</f>
        <v>22.11.2011</v>
      </c>
      <c r="D3283" t="str">
        <f>"1.200,00"</f>
        <v>1.200,00</v>
      </c>
      <c r="E3283" t="str">
        <f>"1.200,00"</f>
        <v>1.200,00</v>
      </c>
    </row>
    <row r="3286" spans="1:5" x14ac:dyDescent="0.25">
      <c r="A3286" t="str">
        <f>"768"</f>
        <v>768</v>
      </c>
      <c r="B3286" t="str">
        <f>"Aliaves a Co.,a.s. Praha"</f>
        <v>Aliaves a Co.,a.s. Praha</v>
      </c>
      <c r="C3286" t="str">
        <f>"28988230"</f>
        <v>28988230</v>
      </c>
    </row>
    <row r="3287" spans="1:5" x14ac:dyDescent="0.25">
      <c r="A3287" t="str">
        <f>"14.11.2011"</f>
        <v>14.11.2011</v>
      </c>
      <c r="B3287" t="str">
        <f>"24.11.2011"</f>
        <v>24.11.2011</v>
      </c>
      <c r="C3287" t="str">
        <f>"22.11.2011"</f>
        <v>22.11.2011</v>
      </c>
      <c r="D3287" t="str">
        <f>"1.908,00"</f>
        <v>1.908,00</v>
      </c>
      <c r="E3287" t="str">
        <f>"1.908,00"</f>
        <v>1.908,00</v>
      </c>
    </row>
    <row r="3290" spans="1:5" x14ac:dyDescent="0.25">
      <c r="A3290" t="str">
        <f>"769"</f>
        <v>769</v>
      </c>
      <c r="B3290" t="str">
        <f>"STRABAG a.s. Soběslav"</f>
        <v>STRABAG a.s. Soběslav</v>
      </c>
      <c r="C3290" t="str">
        <f>"60838744"</f>
        <v>60838744</v>
      </c>
    </row>
    <row r="3291" spans="1:5" x14ac:dyDescent="0.25">
      <c r="A3291" t="str">
        <f>"15.11.2011"</f>
        <v>15.11.2011</v>
      </c>
      <c r="B3291" t="str">
        <f>"08.11.2011"</f>
        <v>08.11.2011</v>
      </c>
      <c r="C3291" t="str">
        <f>"16.11.2011"</f>
        <v>16.11.2011</v>
      </c>
      <c r="D3291" t="str">
        <f>"191.578,60"</f>
        <v>191.578,60</v>
      </c>
      <c r="E3291" t="str">
        <f>"191.578,60"</f>
        <v>191.578,60</v>
      </c>
    </row>
    <row r="3294" spans="1:5" x14ac:dyDescent="0.25">
      <c r="A3294" t="str">
        <f>"770"</f>
        <v>770</v>
      </c>
      <c r="B3294" t="str">
        <f>"Ing. Vančata Skalice"</f>
        <v>Ing. Vančata Skalice</v>
      </c>
      <c r="C3294" t="str">
        <f>"62510487"</f>
        <v>62510487</v>
      </c>
    </row>
    <row r="3295" spans="1:5" x14ac:dyDescent="0.25">
      <c r="A3295" t="str">
        <f>"22.11.2011"</f>
        <v>22.11.2011</v>
      </c>
      <c r="B3295" t="str">
        <f>"23.11.2011"</f>
        <v>23.11.2011</v>
      </c>
      <c r="C3295" t="str">
        <f>"22.11.2011"</f>
        <v>22.11.2011</v>
      </c>
      <c r="D3295" t="str">
        <f>"17.400,00"</f>
        <v>17.400,00</v>
      </c>
      <c r="E3295" t="str">
        <f>"17.400,00"</f>
        <v>17.400,00</v>
      </c>
    </row>
    <row r="3298" spans="1:5" x14ac:dyDescent="0.25">
      <c r="A3298" t="str">
        <f>"771"</f>
        <v>771</v>
      </c>
      <c r="B3298" t="str">
        <f>"Mapcentrum s.r.o. Č.B."</f>
        <v>Mapcentrum s.r.o. Č.B.</v>
      </c>
      <c r="C3298" t="str">
        <f>"25199595"</f>
        <v>25199595</v>
      </c>
    </row>
    <row r="3299" spans="1:5" x14ac:dyDescent="0.25">
      <c r="A3299" t="str">
        <f>"14.11.2011"</f>
        <v>14.11.2011</v>
      </c>
      <c r="B3299" t="str">
        <f>"16.06.2011"</f>
        <v>16.06.2011</v>
      </c>
      <c r="C3299" t="str">
        <f>"23.11.2011"</f>
        <v>23.11.2011</v>
      </c>
      <c r="D3299" t="str">
        <f>"1.953,00"</f>
        <v>1.953,00</v>
      </c>
      <c r="E3299" t="str">
        <f>"1.953,00"</f>
        <v>1.953,00</v>
      </c>
    </row>
    <row r="3301" spans="1:5" x14ac:dyDescent="0.25">
      <c r="A3301" t="str">
        <f>"Poř.č.fak."</f>
        <v>Poř.č.fak.</v>
      </c>
      <c r="B3301" t="str">
        <f>"Dodavatel"</f>
        <v>Dodavatel</v>
      </c>
      <c r="C3301" t="str">
        <f>"IČO"</f>
        <v>IČO</v>
      </c>
    </row>
    <row r="3302" spans="1:5" x14ac:dyDescent="0.25">
      <c r="A3302" t="str">
        <f>"Došla"</f>
        <v>Došla</v>
      </c>
      <c r="B3302" t="str">
        <f>"Splatná"</f>
        <v>Splatná</v>
      </c>
      <c r="C3302" t="str">
        <f>"Zaplacená"</f>
        <v>Zaplacená</v>
      </c>
      <c r="D3302" t="str">
        <f>"Fakt.částka"</f>
        <v>Fakt.částka</v>
      </c>
      <c r="E3302" t="str">
        <f>"Celk.zaplaceno"</f>
        <v>Celk.zaplaceno</v>
      </c>
    </row>
    <row r="3303" spans="1:5" x14ac:dyDescent="0.25">
      <c r="B3303" t="str">
        <f>"Poznámka"</f>
        <v>Poznámka</v>
      </c>
    </row>
    <row r="3304" spans="1:5" x14ac:dyDescent="0.25">
      <c r="A3304" t="str">
        <f>"**********"</f>
        <v>**********</v>
      </c>
      <c r="B3304" t="str">
        <f>"**************************"</f>
        <v>**************************</v>
      </c>
      <c r="C3304" t="str">
        <f>"***********"</f>
        <v>***********</v>
      </c>
      <c r="D3304" t="str">
        <f>"***************"</f>
        <v>***************</v>
      </c>
      <c r="E3304" t="str">
        <f>"***************"</f>
        <v>***************</v>
      </c>
    </row>
    <row r="3306" spans="1:5" x14ac:dyDescent="0.25">
      <c r="A3306" t="str">
        <f>"772"</f>
        <v>772</v>
      </c>
      <c r="B3306" t="str">
        <f>"KONICA MINOLTA s.r.o."</f>
        <v>KONICA MINOLTA s.r.o.</v>
      </c>
      <c r="C3306" t="str">
        <f>"00176150"</f>
        <v>00176150</v>
      </c>
    </row>
    <row r="3307" spans="1:5" x14ac:dyDescent="0.25">
      <c r="A3307" t="str">
        <f>"15.11.2011"</f>
        <v>15.11.2011</v>
      </c>
      <c r="B3307" t="str">
        <f>"21.11.2011"</f>
        <v>21.11.2011</v>
      </c>
      <c r="C3307" t="str">
        <f>"23.11.2011"</f>
        <v>23.11.2011</v>
      </c>
      <c r="D3307" t="str">
        <f>"367,20"</f>
        <v>367,20</v>
      </c>
      <c r="E3307" t="str">
        <f>"367,20"</f>
        <v>367,20</v>
      </c>
    </row>
    <row r="3310" spans="1:5" x14ac:dyDescent="0.25">
      <c r="A3310" t="str">
        <f>"773"</f>
        <v>773</v>
      </c>
      <c r="B3310" t="str">
        <f>"KONICA MINOLTA s.r.o."</f>
        <v>KONICA MINOLTA s.r.o.</v>
      </c>
      <c r="C3310" t="str">
        <f>"00176150"</f>
        <v>00176150</v>
      </c>
    </row>
    <row r="3311" spans="1:5" x14ac:dyDescent="0.25">
      <c r="A3311" t="str">
        <f>"15.11.2011"</f>
        <v>15.11.2011</v>
      </c>
      <c r="B3311" t="str">
        <f>"21.11.2011"</f>
        <v>21.11.2011</v>
      </c>
      <c r="C3311" t="str">
        <f>"23.11.2011"</f>
        <v>23.11.2011</v>
      </c>
      <c r="D3311" t="str">
        <f>"1.729,70"</f>
        <v>1.729,70</v>
      </c>
      <c r="E3311" t="str">
        <f>"1.729,70"</f>
        <v>1.729,70</v>
      </c>
    </row>
    <row r="3314" spans="1:5" x14ac:dyDescent="0.25">
      <c r="A3314" t="str">
        <f>"774"</f>
        <v>774</v>
      </c>
      <c r="B3314" t="str">
        <f>"KONICA MINOLTA s.r.o."</f>
        <v>KONICA MINOLTA s.r.o.</v>
      </c>
      <c r="C3314" t="str">
        <f>"00176150"</f>
        <v>00176150</v>
      </c>
    </row>
    <row r="3315" spans="1:5" x14ac:dyDescent="0.25">
      <c r="A3315" t="str">
        <f>"15.11.2011"</f>
        <v>15.11.2011</v>
      </c>
      <c r="B3315" t="str">
        <f>"21.11.2011"</f>
        <v>21.11.2011</v>
      </c>
      <c r="C3315" t="str">
        <f>"23.11.2011"</f>
        <v>23.11.2011</v>
      </c>
      <c r="D3315" t="str">
        <f>"3.552,00"</f>
        <v>3.552,00</v>
      </c>
      <c r="E3315" t="str">
        <f>"3.552,00"</f>
        <v>3.552,00</v>
      </c>
    </row>
    <row r="3318" spans="1:5" x14ac:dyDescent="0.25">
      <c r="A3318" t="str">
        <f>"775"</f>
        <v>775</v>
      </c>
      <c r="B3318" t="str">
        <f>"Zdeněk Vondruška Soběslav"</f>
        <v>Zdeněk Vondruška Soběslav</v>
      </c>
      <c r="C3318" t="str">
        <f>"73523020"</f>
        <v>73523020</v>
      </c>
    </row>
    <row r="3319" spans="1:5" x14ac:dyDescent="0.25">
      <c r="A3319" t="str">
        <f>"15.11.2011"</f>
        <v>15.11.2011</v>
      </c>
      <c r="B3319" t="str">
        <f>"26.11.2011"</f>
        <v>26.11.2011</v>
      </c>
      <c r="C3319" t="str">
        <f>"24.11.2011"</f>
        <v>24.11.2011</v>
      </c>
      <c r="D3319" t="str">
        <f>"38.023,20"</f>
        <v>38.023,20</v>
      </c>
      <c r="E3319" t="str">
        <f>"38.023,20"</f>
        <v>38.023,20</v>
      </c>
    </row>
    <row r="3322" spans="1:5" x14ac:dyDescent="0.25">
      <c r="A3322" t="str">
        <f>"776"</f>
        <v>776</v>
      </c>
      <c r="B3322" t="str">
        <f>"Mareš Zbyněk Tábor"</f>
        <v>Mareš Zbyněk Tábor</v>
      </c>
      <c r="C3322" t="str">
        <f>"69541850"</f>
        <v>69541850</v>
      </c>
    </row>
    <row r="3323" spans="1:5" x14ac:dyDescent="0.25">
      <c r="A3323" t="str">
        <f>"15.11.2011"</f>
        <v>15.11.2011</v>
      </c>
      <c r="B3323" t="str">
        <f>"28.11.2011"</f>
        <v>28.11.2011</v>
      </c>
      <c r="C3323" t="str">
        <f>"24.11.2011"</f>
        <v>24.11.2011</v>
      </c>
      <c r="D3323" t="str">
        <f>"10.242,00"</f>
        <v>10.242,00</v>
      </c>
      <c r="E3323" t="str">
        <f>"10.242,00"</f>
        <v>10.242,00</v>
      </c>
    </row>
    <row r="3326" spans="1:5" x14ac:dyDescent="0.25">
      <c r="A3326" t="str">
        <f>"777"</f>
        <v>777</v>
      </c>
      <c r="B3326" t="str">
        <f>"Roman Smrž Tábor"</f>
        <v>Roman Smrž Tábor</v>
      </c>
      <c r="C3326" t="str">
        <f>"71919023"</f>
        <v>71919023</v>
      </c>
    </row>
    <row r="3327" spans="1:5" x14ac:dyDescent="0.25">
      <c r="A3327" t="str">
        <f>"16.11.2011"</f>
        <v>16.11.2011</v>
      </c>
      <c r="B3327" t="str">
        <f>"20.11.2011"</f>
        <v>20.11.2011</v>
      </c>
      <c r="C3327" t="str">
        <f>"23.11.2011"</f>
        <v>23.11.2011</v>
      </c>
      <c r="D3327" t="str">
        <f>"4.747,00"</f>
        <v>4.747,00</v>
      </c>
      <c r="E3327" t="str">
        <f>"4.747,00"</f>
        <v>4.747,00</v>
      </c>
    </row>
    <row r="3330" spans="1:5" x14ac:dyDescent="0.25">
      <c r="A3330" t="str">
        <f>"778"</f>
        <v>778</v>
      </c>
      <c r="B3330" t="str">
        <f>"T.O.D.O.K. s.r.o.Soběslav"</f>
        <v>T.O.D.O.K. s.r.o.Soběslav</v>
      </c>
      <c r="C3330" t="str">
        <f>"48201936"</f>
        <v>48201936</v>
      </c>
    </row>
    <row r="3331" spans="1:5" x14ac:dyDescent="0.25">
      <c r="A3331" t="str">
        <f>"16.11.2011"</f>
        <v>16.11.2011</v>
      </c>
      <c r="B3331" t="str">
        <f>"05.12.2011"</f>
        <v>05.12.2011</v>
      </c>
      <c r="C3331" t="str">
        <f>"01.12.2011"</f>
        <v>01.12.2011</v>
      </c>
      <c r="D3331" t="str">
        <f>"73.514,00"</f>
        <v>73.514,00</v>
      </c>
      <c r="E3331" t="str">
        <f>"73.514,00"</f>
        <v>73.514,00</v>
      </c>
    </row>
    <row r="3334" spans="1:5" x14ac:dyDescent="0.25">
      <c r="A3334" t="str">
        <f>"779"</f>
        <v>779</v>
      </c>
      <c r="B3334" t="str">
        <f>"UNIOM s.r.o. Soběslav"</f>
        <v>UNIOM s.r.o. Soběslav</v>
      </c>
      <c r="C3334" t="str">
        <f>"16847211"</f>
        <v>16847211</v>
      </c>
    </row>
    <row r="3335" spans="1:5" x14ac:dyDescent="0.25">
      <c r="A3335" t="str">
        <f>"18.11.2011"</f>
        <v>18.11.2011</v>
      </c>
      <c r="B3335" t="str">
        <f>"24.11.2011"</f>
        <v>24.11.2011</v>
      </c>
      <c r="C3335" t="str">
        <f>"23.11.2011"</f>
        <v>23.11.2011</v>
      </c>
      <c r="D3335" t="str">
        <f>"2.926,00"</f>
        <v>2.926,00</v>
      </c>
      <c r="E3335" t="str">
        <f>"2.926,00"</f>
        <v>2.926,00</v>
      </c>
    </row>
    <row r="3338" spans="1:5" x14ac:dyDescent="0.25">
      <c r="A3338" t="str">
        <f>"780"</f>
        <v>780</v>
      </c>
      <c r="B3338" t="str">
        <f>"Dopravní značení Tábor"</f>
        <v>Dopravní značení Tábor</v>
      </c>
      <c r="C3338" t="str">
        <f>"26113287"</f>
        <v>26113287</v>
      </c>
    </row>
    <row r="3339" spans="1:5" x14ac:dyDescent="0.25">
      <c r="A3339" t="str">
        <f>"18.11.2011"</f>
        <v>18.11.2011</v>
      </c>
      <c r="B3339" t="str">
        <f>"02.12.2011"</f>
        <v>02.12.2011</v>
      </c>
      <c r="C3339" t="str">
        <f>"29.11.2011"</f>
        <v>29.11.2011</v>
      </c>
      <c r="D3339" t="str">
        <f>"861,60"</f>
        <v>861,60</v>
      </c>
      <c r="E3339" t="str">
        <f>"861,60"</f>
        <v>861,60</v>
      </c>
    </row>
    <row r="3342" spans="1:5" x14ac:dyDescent="0.25">
      <c r="A3342" t="str">
        <f>"781"</f>
        <v>781</v>
      </c>
      <c r="B3342" t="str">
        <f>"Dopravní značení Tábor"</f>
        <v>Dopravní značení Tábor</v>
      </c>
      <c r="C3342" t="str">
        <f>"26113287"</f>
        <v>26113287</v>
      </c>
    </row>
    <row r="3343" spans="1:5" x14ac:dyDescent="0.25">
      <c r="A3343" t="str">
        <f>"18.11.2011"</f>
        <v>18.11.2011</v>
      </c>
      <c r="B3343" t="str">
        <f>"02.12.2011"</f>
        <v>02.12.2011</v>
      </c>
      <c r="C3343" t="str">
        <f>"29.11.2011"</f>
        <v>29.11.2011</v>
      </c>
      <c r="D3343" t="str">
        <f>"3.552,00"</f>
        <v>3.552,00</v>
      </c>
      <c r="E3343" t="str">
        <f>"3.552,00"</f>
        <v>3.552,00</v>
      </c>
    </row>
    <row r="3346" spans="1:5" x14ac:dyDescent="0.25">
      <c r="A3346" t="str">
        <f>"782"</f>
        <v>782</v>
      </c>
      <c r="B3346" t="str">
        <f>"Dopravní značení Tábor"</f>
        <v>Dopravní značení Tábor</v>
      </c>
      <c r="C3346" t="str">
        <f>"26113287"</f>
        <v>26113287</v>
      </c>
    </row>
    <row r="3347" spans="1:5" x14ac:dyDescent="0.25">
      <c r="A3347" t="str">
        <f>"18.11.2011"</f>
        <v>18.11.2011</v>
      </c>
      <c r="B3347" t="str">
        <f>"02.12.2011"</f>
        <v>02.12.2011</v>
      </c>
      <c r="C3347" t="str">
        <f>"29.11.2011"</f>
        <v>29.11.2011</v>
      </c>
      <c r="D3347" t="str">
        <f>"7.044,00"</f>
        <v>7.044,00</v>
      </c>
      <c r="E3347" t="str">
        <f>"7.044,00"</f>
        <v>7.044,00</v>
      </c>
    </row>
    <row r="3350" spans="1:5" x14ac:dyDescent="0.25">
      <c r="A3350" t="str">
        <f>"783"</f>
        <v>783</v>
      </c>
      <c r="B3350" t="str">
        <f>"Ing. Popela Č. Budějovice"</f>
        <v>Ing. Popela Č. Budějovice</v>
      </c>
      <c r="C3350" t="str">
        <f>"42414679"</f>
        <v>42414679</v>
      </c>
    </row>
    <row r="3351" spans="1:5" x14ac:dyDescent="0.25">
      <c r="A3351" t="str">
        <f>"18.11.2011"</f>
        <v>18.11.2011</v>
      </c>
      <c r="B3351" t="str">
        <f>"30.11.2011"</f>
        <v>30.11.2011</v>
      </c>
      <c r="C3351" t="str">
        <f>"28.11.2011"</f>
        <v>28.11.2011</v>
      </c>
      <c r="D3351" t="str">
        <f>"28.440,00"</f>
        <v>28.440,00</v>
      </c>
      <c r="E3351" t="str">
        <f>"28.440,00"</f>
        <v>28.440,00</v>
      </c>
    </row>
    <row r="3354" spans="1:5" x14ac:dyDescent="0.25">
      <c r="A3354" t="str">
        <f>"784"</f>
        <v>784</v>
      </c>
      <c r="B3354" t="str">
        <f>"ACTIVA s.r.o. Praha 9"</f>
        <v>ACTIVA s.r.o. Praha 9</v>
      </c>
      <c r="C3354" t="str">
        <f>"48111198"</f>
        <v>48111198</v>
      </c>
    </row>
    <row r="3355" spans="1:5" x14ac:dyDescent="0.25">
      <c r="A3355" t="str">
        <f>"21.11.2011"</f>
        <v>21.11.2011</v>
      </c>
      <c r="B3355" t="str">
        <f>"02.12.2011"</f>
        <v>02.12.2011</v>
      </c>
      <c r="C3355" t="str">
        <f>"29.11.2011"</f>
        <v>29.11.2011</v>
      </c>
      <c r="D3355" t="str">
        <f>"276,00"</f>
        <v>276,00</v>
      </c>
      <c r="E3355" t="str">
        <f>"276,00"</f>
        <v>276,00</v>
      </c>
    </row>
    <row r="3358" spans="1:5" x14ac:dyDescent="0.25">
      <c r="A3358" t="str">
        <f>"785"</f>
        <v>785</v>
      </c>
      <c r="B3358" t="str">
        <f>"Antonín Hamsík Praha"</f>
        <v>Antonín Hamsík Praha</v>
      </c>
      <c r="C3358" t="str">
        <f>"48134775"</f>
        <v>48134775</v>
      </c>
    </row>
    <row r="3359" spans="1:5" x14ac:dyDescent="0.25">
      <c r="A3359" t="str">
        <f>"21.11.2011"</f>
        <v>21.11.2011</v>
      </c>
      <c r="B3359" t="str">
        <f>"25.11.2011"</f>
        <v>25.11.2011</v>
      </c>
      <c r="C3359" t="str">
        <f>"23.11.2011"</f>
        <v>23.11.2011</v>
      </c>
      <c r="D3359" t="str">
        <f>"15.000,00"</f>
        <v>15.000,00</v>
      </c>
      <c r="E3359" t="str">
        <f>"15.000,00"</f>
        <v>15.000,00</v>
      </c>
    </row>
    <row r="3361" spans="1:5" x14ac:dyDescent="0.25">
      <c r="A3361" t="str">
        <f>"Poř.č.fak."</f>
        <v>Poř.č.fak.</v>
      </c>
      <c r="B3361" t="str">
        <f>"Dodavatel"</f>
        <v>Dodavatel</v>
      </c>
      <c r="C3361" t="str">
        <f>"IČO"</f>
        <v>IČO</v>
      </c>
    </row>
    <row r="3362" spans="1:5" x14ac:dyDescent="0.25">
      <c r="A3362" t="str">
        <f>"Došla"</f>
        <v>Došla</v>
      </c>
      <c r="B3362" t="str">
        <f>"Splatná"</f>
        <v>Splatná</v>
      </c>
      <c r="C3362" t="str">
        <f>"Zaplacená"</f>
        <v>Zaplacená</v>
      </c>
      <c r="D3362" t="str">
        <f>"Fakt.částka"</f>
        <v>Fakt.částka</v>
      </c>
      <c r="E3362" t="str">
        <f>"Celk.zaplaceno"</f>
        <v>Celk.zaplaceno</v>
      </c>
    </row>
    <row r="3363" spans="1:5" x14ac:dyDescent="0.25">
      <c r="B3363" t="str">
        <f>"Poznámka"</f>
        <v>Poznámka</v>
      </c>
    </row>
    <row r="3364" spans="1:5" x14ac:dyDescent="0.25">
      <c r="A3364" t="str">
        <f>"**********"</f>
        <v>**********</v>
      </c>
      <c r="B3364" t="str">
        <f>"**************************"</f>
        <v>**************************</v>
      </c>
      <c r="C3364" t="str">
        <f>"***********"</f>
        <v>***********</v>
      </c>
      <c r="D3364" t="str">
        <f>"***************"</f>
        <v>***************</v>
      </c>
      <c r="E3364" t="str">
        <f>"***************"</f>
        <v>***************</v>
      </c>
    </row>
    <row r="3366" spans="1:5" x14ac:dyDescent="0.25">
      <c r="A3366" t="str">
        <f>"786"</f>
        <v>786</v>
      </c>
      <c r="B3366" t="str">
        <f>"STRABAG a.s. Soběslav"</f>
        <v>STRABAG a.s. Soběslav</v>
      </c>
      <c r="C3366" t="str">
        <f>"60838744"</f>
        <v>60838744</v>
      </c>
    </row>
    <row r="3367" spans="1:5" x14ac:dyDescent="0.25">
      <c r="A3367" t="str">
        <f>"21.11.2011"</f>
        <v>21.11.2011</v>
      </c>
      <c r="B3367" t="str">
        <f>"30.11.2011"</f>
        <v>30.11.2011</v>
      </c>
      <c r="C3367" t="str">
        <f>"28.11.2011"</f>
        <v>28.11.2011</v>
      </c>
      <c r="D3367" t="str">
        <f>"67.350,00"</f>
        <v>67.350,00</v>
      </c>
      <c r="E3367" t="str">
        <f>"67.350,00"</f>
        <v>67.350,00</v>
      </c>
    </row>
    <row r="3370" spans="1:5" x14ac:dyDescent="0.25">
      <c r="A3370" t="str">
        <f>"787"</f>
        <v>787</v>
      </c>
      <c r="B3370" t="str">
        <f>"REMBRANDT s.r.o."</f>
        <v>REMBRANDT s.r.o.</v>
      </c>
      <c r="C3370" t="str">
        <f>"25215850"</f>
        <v>25215850</v>
      </c>
    </row>
    <row r="3371" spans="1:5" x14ac:dyDescent="0.25">
      <c r="A3371" t="str">
        <f>"21.11.2011"</f>
        <v>21.11.2011</v>
      </c>
      <c r="B3371" t="str">
        <f>"30.11.2011"</f>
        <v>30.11.2011</v>
      </c>
      <c r="C3371" t="str">
        <f>"28.11.2011"</f>
        <v>28.11.2011</v>
      </c>
      <c r="D3371" t="str">
        <f>"8.860,00"</f>
        <v>8.860,00</v>
      </c>
      <c r="E3371" t="str">
        <f>"8.860,00"</f>
        <v>8.860,00</v>
      </c>
    </row>
    <row r="3374" spans="1:5" x14ac:dyDescent="0.25">
      <c r="A3374" t="str">
        <f>"788"</f>
        <v>788</v>
      </c>
      <c r="B3374" t="str">
        <f>"Moraviapress a.s. Břeclav"</f>
        <v>Moraviapress a.s. Břeclav</v>
      </c>
      <c r="C3374" t="str">
        <f>"00543411"</f>
        <v>00543411</v>
      </c>
    </row>
    <row r="3375" spans="1:5" x14ac:dyDescent="0.25">
      <c r="A3375" t="str">
        <f>"21.11.2011"</f>
        <v>21.11.2011</v>
      </c>
      <c r="B3375" t="str">
        <f>"05.12.2011"</f>
        <v>05.12.2011</v>
      </c>
      <c r="C3375" t="str">
        <f>"01.12.2011"</f>
        <v>01.12.2011</v>
      </c>
      <c r="D3375" t="str">
        <f>"6.000,00"</f>
        <v>6.000,00</v>
      </c>
      <c r="E3375" t="str">
        <f>"6.000,00"</f>
        <v>6.000,00</v>
      </c>
    </row>
    <row r="3378" spans="1:5" x14ac:dyDescent="0.25">
      <c r="A3378" t="str">
        <f>"789"</f>
        <v>789</v>
      </c>
      <c r="B3378" t="str">
        <f>"Vodní hospodářství Čkyně"</f>
        <v>Vodní hospodářství Čkyně</v>
      </c>
      <c r="C3378" t="str">
        <f>"25172379"</f>
        <v>25172379</v>
      </c>
    </row>
    <row r="3379" spans="1:5" x14ac:dyDescent="0.25">
      <c r="A3379" t="str">
        <f>"21.11.2011"</f>
        <v>21.11.2011</v>
      </c>
      <c r="B3379" t="str">
        <f>"13.01.2012"</f>
        <v>13.01.2012</v>
      </c>
      <c r="C3379" t="str">
        <f>"28.11.2011"</f>
        <v>28.11.2011</v>
      </c>
      <c r="D3379" t="str">
        <f>"969,00"</f>
        <v>969,00</v>
      </c>
      <c r="E3379" t="str">
        <f>"969,00"</f>
        <v>969,00</v>
      </c>
    </row>
    <row r="3382" spans="1:5" x14ac:dyDescent="0.25">
      <c r="A3382" t="str">
        <f>"790"</f>
        <v>790</v>
      </c>
      <c r="B3382" t="str">
        <f>"MV ČR VS Praha 10"</f>
        <v>MV ČR VS Praha 10</v>
      </c>
      <c r="C3382" t="str">
        <f>"00007064"</f>
        <v>00007064</v>
      </c>
    </row>
    <row r="3383" spans="1:5" x14ac:dyDescent="0.25">
      <c r="A3383" t="str">
        <f>"22.11.2011"</f>
        <v>22.11.2011</v>
      </c>
      <c r="B3383" t="str">
        <f>"30.11.2011"</f>
        <v>30.11.2011</v>
      </c>
      <c r="C3383" t="str">
        <f>"28.11.2011"</f>
        <v>28.11.2011</v>
      </c>
      <c r="D3383" t="str">
        <f>"676,00"</f>
        <v>676,00</v>
      </c>
      <c r="E3383" t="str">
        <f>"676,00"</f>
        <v>676,00</v>
      </c>
    </row>
    <row r="3386" spans="1:5" x14ac:dyDescent="0.25">
      <c r="A3386" t="str">
        <f>"791"</f>
        <v>791</v>
      </c>
      <c r="B3386" t="str">
        <f>"Chališ Tábor"</f>
        <v>Chališ Tábor</v>
      </c>
      <c r="C3386" t="str">
        <f>"42360412"</f>
        <v>42360412</v>
      </c>
    </row>
    <row r="3387" spans="1:5" x14ac:dyDescent="0.25">
      <c r="A3387" t="str">
        <f>"23.11.2011"</f>
        <v>23.11.2011</v>
      </c>
      <c r="B3387" t="str">
        <f>"06.12.2011"</f>
        <v>06.12.2011</v>
      </c>
      <c r="C3387" t="str">
        <f>"05.12.2011"</f>
        <v>05.12.2011</v>
      </c>
      <c r="D3387" t="str">
        <f>"542.737,00"</f>
        <v>542.737,00</v>
      </c>
      <c r="E3387" t="str">
        <f>"542.737,00"</f>
        <v>542.737,00</v>
      </c>
    </row>
    <row r="3390" spans="1:5" x14ac:dyDescent="0.25">
      <c r="A3390" t="str">
        <f>"792"</f>
        <v>792</v>
      </c>
      <c r="B3390" t="str">
        <f>"Česká pošta, s.p. Praha"</f>
        <v>Česká pošta, s.p. Praha</v>
      </c>
      <c r="C3390" t="str">
        <f>"47114983"</f>
        <v>47114983</v>
      </c>
    </row>
    <row r="3391" spans="1:5" x14ac:dyDescent="0.25">
      <c r="A3391" t="str">
        <f>"24.11.2011"</f>
        <v>24.11.2011</v>
      </c>
      <c r="B3391" t="str">
        <f>"06.12.2011"</f>
        <v>06.12.2011</v>
      </c>
      <c r="C3391" t="str">
        <f>"05.12.2011"</f>
        <v>05.12.2011</v>
      </c>
      <c r="D3391" t="str">
        <f>"396,00"</f>
        <v>396,00</v>
      </c>
      <c r="E3391" t="str">
        <f>"396,00"</f>
        <v>396,00</v>
      </c>
    </row>
    <row r="3394" spans="1:5" x14ac:dyDescent="0.25">
      <c r="A3394" t="str">
        <f>"793"</f>
        <v>793</v>
      </c>
      <c r="B3394" t="str">
        <f>"Správa města Soběslavi"</f>
        <v>Správa města Soběslavi</v>
      </c>
      <c r="C3394" t="str">
        <f>"26029987"</f>
        <v>26029987</v>
      </c>
    </row>
    <row r="3395" spans="1:5" x14ac:dyDescent="0.25">
      <c r="A3395" t="str">
        <f>"24.11.2011"</f>
        <v>24.11.2011</v>
      </c>
      <c r="B3395" t="str">
        <f>"08.12.2011"</f>
        <v>08.12.2011</v>
      </c>
      <c r="C3395" t="str">
        <f>"06.12.2011"</f>
        <v>06.12.2011</v>
      </c>
      <c r="D3395" t="str">
        <f>"4.854,00"</f>
        <v>4.854,00</v>
      </c>
      <c r="E3395" t="str">
        <f>"4.854,00"</f>
        <v>4.854,00</v>
      </c>
    </row>
    <row r="3398" spans="1:5" x14ac:dyDescent="0.25">
      <c r="A3398" t="str">
        <f>"794"</f>
        <v>794</v>
      </c>
      <c r="B3398" t="str">
        <f>"ACTIVA s.r.o. Praha 9"</f>
        <v>ACTIVA s.r.o. Praha 9</v>
      </c>
      <c r="C3398" t="str">
        <f>"48111198"</f>
        <v>48111198</v>
      </c>
    </row>
    <row r="3399" spans="1:5" x14ac:dyDescent="0.25">
      <c r="A3399" t="str">
        <f>"25.11.2011"</f>
        <v>25.11.2011</v>
      </c>
      <c r="B3399" t="str">
        <f>"08.12.2011"</f>
        <v>08.12.2011</v>
      </c>
      <c r="C3399" t="str">
        <f>"06.12.2011"</f>
        <v>06.12.2011</v>
      </c>
      <c r="D3399" t="str">
        <f>"61,00"</f>
        <v>61,00</v>
      </c>
      <c r="E3399" t="str">
        <f>"61,00"</f>
        <v>61,00</v>
      </c>
    </row>
    <row r="3402" spans="1:5" x14ac:dyDescent="0.25">
      <c r="A3402" t="str">
        <f>"795"</f>
        <v>795</v>
      </c>
      <c r="B3402" t="str">
        <f>"TZB projekt s.r.o. Tábor"</f>
        <v>TZB projekt s.r.o. Tábor</v>
      </c>
      <c r="C3402" t="str">
        <f>"25187635"</f>
        <v>25187635</v>
      </c>
    </row>
    <row r="3403" spans="1:5" x14ac:dyDescent="0.25">
      <c r="A3403" t="str">
        <f>"25.11.2011"</f>
        <v>25.11.2011</v>
      </c>
      <c r="B3403" t="str">
        <f>"05.12.2011"</f>
        <v>05.12.2011</v>
      </c>
      <c r="C3403" t="str">
        <f>"01.12.2011"</f>
        <v>01.12.2011</v>
      </c>
      <c r="D3403" t="str">
        <f>"45.600,00"</f>
        <v>45.600,00</v>
      </c>
      <c r="E3403" t="str">
        <f>"45.600,00"</f>
        <v>45.600,00</v>
      </c>
    </row>
    <row r="3406" spans="1:5" x14ac:dyDescent="0.25">
      <c r="A3406" t="str">
        <f>"796"</f>
        <v>796</v>
      </c>
      <c r="B3406" t="str">
        <f>"Ing. Pavel Douša Tábor"</f>
        <v>Ing. Pavel Douša Tábor</v>
      </c>
      <c r="C3406" t="str">
        <f>"10325123"</f>
        <v>10325123</v>
      </c>
    </row>
    <row r="3407" spans="1:5" x14ac:dyDescent="0.25">
      <c r="A3407" t="str">
        <f>"22.11.2011"</f>
        <v>22.11.2011</v>
      </c>
      <c r="B3407" t="str">
        <f>"05.12.2011"</f>
        <v>05.12.2011</v>
      </c>
      <c r="C3407" t="str">
        <f>"01.12.2011"</f>
        <v>01.12.2011</v>
      </c>
      <c r="D3407" t="str">
        <f>"6.000,00"</f>
        <v>6.000,00</v>
      </c>
      <c r="E3407" t="str">
        <f>"6.000,00"</f>
        <v>6.000,00</v>
      </c>
    </row>
    <row r="3410" spans="1:5" x14ac:dyDescent="0.25">
      <c r="A3410" t="str">
        <f>"797"</f>
        <v>797</v>
      </c>
      <c r="B3410" t="str">
        <f>"Jiří Podlešák Planá u Č.B"</f>
        <v>Jiří Podlešák Planá u Č.B</v>
      </c>
      <c r="C3410" t="str">
        <f>"45046182"</f>
        <v>45046182</v>
      </c>
    </row>
    <row r="3411" spans="1:5" x14ac:dyDescent="0.25">
      <c r="A3411" t="str">
        <f>"28.11.2011"</f>
        <v>28.11.2011</v>
      </c>
      <c r="B3411" t="str">
        <f>"19.12.2011"</f>
        <v>19.12.2011</v>
      </c>
      <c r="C3411" t="str">
        <f>"28.11.2011"</f>
        <v>28.11.2011</v>
      </c>
      <c r="D3411" t="str">
        <f>"65.880,00"</f>
        <v>65.880,00</v>
      </c>
      <c r="E3411" t="str">
        <f>"65.880,00"</f>
        <v>65.880,00</v>
      </c>
    </row>
    <row r="3414" spans="1:5" x14ac:dyDescent="0.25">
      <c r="A3414" t="str">
        <f>"798"</f>
        <v>798</v>
      </c>
      <c r="B3414" t="str">
        <f>"Ladislav Prchlík Klempíř"</f>
        <v>Ladislav Prchlík Klempíř</v>
      </c>
      <c r="C3414" t="str">
        <f>"73479080"</f>
        <v>73479080</v>
      </c>
    </row>
    <row r="3415" spans="1:5" x14ac:dyDescent="0.25">
      <c r="A3415" t="str">
        <f>"25.11.2011"</f>
        <v>25.11.2011</v>
      </c>
      <c r="B3415" t="str">
        <f>"29.11.2011"</f>
        <v>29.11.2011</v>
      </c>
      <c r="C3415" t="str">
        <f>"30.11.2011"</f>
        <v>30.11.2011</v>
      </c>
      <c r="D3415" t="str">
        <f>"8.160,00"</f>
        <v>8.160,00</v>
      </c>
      <c r="E3415" t="str">
        <f>"8.160,00"</f>
        <v>8.160,00</v>
      </c>
    </row>
    <row r="3418" spans="1:5" x14ac:dyDescent="0.25">
      <c r="A3418" t="str">
        <f>"799"</f>
        <v>799</v>
      </c>
      <c r="B3418" t="str">
        <f>"Ing.Libor Kníže Malšice"</f>
        <v>Ing.Libor Kníže Malšice</v>
      </c>
      <c r="C3418" t="str">
        <f>"74585029"</f>
        <v>74585029</v>
      </c>
    </row>
    <row r="3419" spans="1:5" x14ac:dyDescent="0.25">
      <c r="A3419" t="str">
        <f>"29.11.2011"</f>
        <v>29.11.2011</v>
      </c>
      <c r="B3419" t="str">
        <f>"12.11.2011"</f>
        <v>12.11.2011</v>
      </c>
      <c r="C3419" t="str">
        <f>"30.11.2011"</f>
        <v>30.11.2011</v>
      </c>
      <c r="D3419" t="str">
        <f>"23.400,00"</f>
        <v>23.400,00</v>
      </c>
      <c r="E3419" t="str">
        <f>"23.400,00"</f>
        <v>23.400,00</v>
      </c>
    </row>
    <row r="3421" spans="1:5" x14ac:dyDescent="0.25">
      <c r="A3421" t="str">
        <f>"Poř.č.fak."</f>
        <v>Poř.č.fak.</v>
      </c>
      <c r="B3421" t="str">
        <f>"Dodavatel"</f>
        <v>Dodavatel</v>
      </c>
      <c r="C3421" t="str">
        <f>"IČO"</f>
        <v>IČO</v>
      </c>
    </row>
    <row r="3422" spans="1:5" x14ac:dyDescent="0.25">
      <c r="A3422" t="str">
        <f>"Došla"</f>
        <v>Došla</v>
      </c>
      <c r="B3422" t="str">
        <f>"Splatná"</f>
        <v>Splatná</v>
      </c>
      <c r="C3422" t="str">
        <f>"Zaplacená"</f>
        <v>Zaplacená</v>
      </c>
      <c r="D3422" t="str">
        <f>"Fakt.částka"</f>
        <v>Fakt.částka</v>
      </c>
      <c r="E3422" t="str">
        <f>"Celk.zaplaceno"</f>
        <v>Celk.zaplaceno</v>
      </c>
    </row>
    <row r="3423" spans="1:5" x14ac:dyDescent="0.25">
      <c r="B3423" t="str">
        <f>"Poznámka"</f>
        <v>Poznámka</v>
      </c>
    </row>
    <row r="3424" spans="1:5" x14ac:dyDescent="0.25">
      <c r="A3424" t="str">
        <f>"**********"</f>
        <v>**********</v>
      </c>
      <c r="B3424" t="str">
        <f>"**************************"</f>
        <v>**************************</v>
      </c>
      <c r="C3424" t="str">
        <f>"***********"</f>
        <v>***********</v>
      </c>
      <c r="D3424" t="str">
        <f>"***************"</f>
        <v>***************</v>
      </c>
      <c r="E3424" t="str">
        <f>"***************"</f>
        <v>***************</v>
      </c>
    </row>
    <row r="3426" spans="1:5" x14ac:dyDescent="0.25">
      <c r="A3426" t="str">
        <f>"800"</f>
        <v>800</v>
      </c>
      <c r="B3426" t="str">
        <f>"SAPSERVIS s.r.o. Soběslav"</f>
        <v>SAPSERVIS s.r.o. Soběslav</v>
      </c>
      <c r="C3426" t="str">
        <f>"26022761"</f>
        <v>26022761</v>
      </c>
    </row>
    <row r="3427" spans="1:5" x14ac:dyDescent="0.25">
      <c r="A3427" t="str">
        <f>"29.11.2011"</f>
        <v>29.11.2011</v>
      </c>
      <c r="B3427" t="str">
        <f>"14.11.2011"</f>
        <v>14.11.2011</v>
      </c>
      <c r="C3427" t="str">
        <f>"30.11.2011"</f>
        <v>30.11.2011</v>
      </c>
      <c r="D3427" t="str">
        <f>"227.880,00"</f>
        <v>227.880,00</v>
      </c>
      <c r="E3427" t="str">
        <f>"227.880,00"</f>
        <v>227.880,00</v>
      </c>
    </row>
    <row r="3430" spans="1:5" x14ac:dyDescent="0.25">
      <c r="A3430" t="str">
        <f>"801"</f>
        <v>801</v>
      </c>
      <c r="B3430" t="str">
        <f>"Gordic  s.r.o. Jihlava"</f>
        <v>Gordic  s.r.o. Jihlava</v>
      </c>
      <c r="C3430" t="str">
        <f>"47903783"</f>
        <v>47903783</v>
      </c>
    </row>
    <row r="3431" spans="1:5" x14ac:dyDescent="0.25">
      <c r="A3431" t="str">
        <f>"25.11.2011"</f>
        <v>25.11.2011</v>
      </c>
      <c r="B3431" t="str">
        <f>"06.12.2011"</f>
        <v>06.12.2011</v>
      </c>
      <c r="C3431" t="str">
        <f>"05.12.2011"</f>
        <v>05.12.2011</v>
      </c>
      <c r="D3431" t="str">
        <f>"2.532,00"</f>
        <v>2.532,00</v>
      </c>
      <c r="E3431" t="str">
        <f>"2.532,00"</f>
        <v>2.532,00</v>
      </c>
    </row>
    <row r="3434" spans="1:5" x14ac:dyDescent="0.25">
      <c r="A3434" t="str">
        <f>"802"</f>
        <v>802</v>
      </c>
      <c r="B3434" t="str">
        <f>"Správa města Soběslavi"</f>
        <v>Správa města Soběslavi</v>
      </c>
      <c r="C3434" t="str">
        <f>"26029987"</f>
        <v>26029987</v>
      </c>
    </row>
    <row r="3435" spans="1:5" x14ac:dyDescent="0.25">
      <c r="A3435" t="str">
        <f>"25.11.2011"</f>
        <v>25.11.2011</v>
      </c>
      <c r="B3435" t="str">
        <f>"09.12.2011"</f>
        <v>09.12.2011</v>
      </c>
      <c r="C3435" t="str">
        <f>"08.12.2011"</f>
        <v>08.12.2011</v>
      </c>
      <c r="D3435" t="str">
        <f>"5.376,00"</f>
        <v>5.376,00</v>
      </c>
      <c r="E3435" t="str">
        <f>"5.376,00"</f>
        <v>5.376,00</v>
      </c>
    </row>
    <row r="3438" spans="1:5" x14ac:dyDescent="0.25">
      <c r="A3438" t="str">
        <f>"803"</f>
        <v>803</v>
      </c>
      <c r="B3438" t="str">
        <f>"Správa města Soběslavi"</f>
        <v>Správa města Soběslavi</v>
      </c>
      <c r="C3438" t="str">
        <f>"26029987"</f>
        <v>26029987</v>
      </c>
    </row>
    <row r="3439" spans="1:5" x14ac:dyDescent="0.25">
      <c r="A3439" t="str">
        <f>"25.11.2011"</f>
        <v>25.11.2011</v>
      </c>
      <c r="B3439" t="str">
        <f>"09.12.2011"</f>
        <v>09.12.2011</v>
      </c>
      <c r="C3439" t="str">
        <f>"06.12.2011"</f>
        <v>06.12.2011</v>
      </c>
      <c r="D3439" t="str">
        <f>"29.407,00"</f>
        <v>29.407,00</v>
      </c>
      <c r="E3439" t="str">
        <f>"29.407,00"</f>
        <v>29.407,00</v>
      </c>
    </row>
    <row r="3442" spans="1:5" x14ac:dyDescent="0.25">
      <c r="A3442" t="str">
        <f>"804"</f>
        <v>804</v>
      </c>
      <c r="B3442" t="str">
        <f>"Kvičínský"</f>
        <v>Kvičínský</v>
      </c>
      <c r="C3442" t="str">
        <f>"49023331"</f>
        <v>49023331</v>
      </c>
    </row>
    <row r="3443" spans="1:5" x14ac:dyDescent="0.25">
      <c r="A3443" t="str">
        <f>"28.11.2011"</f>
        <v>28.11.2011</v>
      </c>
      <c r="B3443" t="str">
        <f>"02.12.2011"</f>
        <v>02.12.2011</v>
      </c>
      <c r="C3443" t="str">
        <f>"01.12.2011"</f>
        <v>01.12.2011</v>
      </c>
      <c r="D3443" t="str">
        <f>"2.068,00"</f>
        <v>2.068,00</v>
      </c>
      <c r="E3443" t="str">
        <f>"2.068,00"</f>
        <v>2.068,00</v>
      </c>
    </row>
    <row r="3446" spans="1:5" x14ac:dyDescent="0.25">
      <c r="A3446" t="str">
        <f>"805"</f>
        <v>805</v>
      </c>
      <c r="B3446" t="str">
        <f>"TERCIE handicap s.r.o."</f>
        <v>TERCIE handicap s.r.o.</v>
      </c>
      <c r="C3446" t="str">
        <f>"26044587"</f>
        <v>26044587</v>
      </c>
    </row>
    <row r="3447" spans="1:5" x14ac:dyDescent="0.25">
      <c r="A3447" t="str">
        <f>"28.11.2011"</f>
        <v>28.11.2011</v>
      </c>
      <c r="B3447" t="str">
        <f>"08.12.2011"</f>
        <v>08.12.2011</v>
      </c>
      <c r="C3447" t="str">
        <f>"06.12.2011"</f>
        <v>06.12.2011</v>
      </c>
      <c r="D3447" t="str">
        <f>"7.224,00"</f>
        <v>7.224,00</v>
      </c>
      <c r="E3447" t="str">
        <f>"7.224,00"</f>
        <v>7.224,00</v>
      </c>
    </row>
    <row r="3450" spans="1:5" x14ac:dyDescent="0.25">
      <c r="A3450" t="str">
        <f>"806"</f>
        <v>806</v>
      </c>
      <c r="B3450" t="str">
        <f>"MV ČR VS Praha 10"</f>
        <v>MV ČR VS Praha 10</v>
      </c>
      <c r="C3450" t="str">
        <f>"00007064"</f>
        <v>00007064</v>
      </c>
    </row>
    <row r="3451" spans="1:5" x14ac:dyDescent="0.25">
      <c r="A3451" t="str">
        <f>"29.11.2011"</f>
        <v>29.11.2011</v>
      </c>
      <c r="B3451" t="str">
        <f>"08.12.2011"</f>
        <v>08.12.2011</v>
      </c>
      <c r="C3451" t="str">
        <f>"06.12.2011"</f>
        <v>06.12.2011</v>
      </c>
      <c r="D3451" t="str">
        <f>"300,00"</f>
        <v>300,00</v>
      </c>
      <c r="E3451" t="str">
        <f>"300,00"</f>
        <v>300,00</v>
      </c>
    </row>
    <row r="3454" spans="1:5" x14ac:dyDescent="0.25">
      <c r="A3454" t="str">
        <f>"807"</f>
        <v>807</v>
      </c>
      <c r="B3454" t="str">
        <f>"KONICA MINOLTA s.r.o."</f>
        <v>KONICA MINOLTA s.r.o.</v>
      </c>
      <c r="C3454" t="str">
        <f>"00176150"</f>
        <v>00176150</v>
      </c>
    </row>
    <row r="3455" spans="1:5" x14ac:dyDescent="0.25">
      <c r="A3455" t="str">
        <f>"29.11.2011"</f>
        <v>29.11.2011</v>
      </c>
      <c r="B3455" t="str">
        <f>"05.12.2011"</f>
        <v>05.12.2011</v>
      </c>
      <c r="C3455" t="str">
        <f>"01.12.2011"</f>
        <v>01.12.2011</v>
      </c>
      <c r="D3455" t="str">
        <f>"3.823,20"</f>
        <v>3.823,20</v>
      </c>
      <c r="E3455" t="str">
        <f>"3.823,20"</f>
        <v>3.823,20</v>
      </c>
    </row>
    <row r="3458" spans="1:5" x14ac:dyDescent="0.25">
      <c r="A3458" t="str">
        <f>"808"</f>
        <v>808</v>
      </c>
      <c r="B3458" t="str">
        <f>"Ing.arch.Jaromír Kročák"</f>
        <v>Ing.arch.Jaromír Kročák</v>
      </c>
      <c r="C3458" t="str">
        <f>"10271911"</f>
        <v>10271911</v>
      </c>
    </row>
    <row r="3459" spans="1:5" x14ac:dyDescent="0.25">
      <c r="A3459" t="str">
        <f>"29.11.2011"</f>
        <v>29.11.2011</v>
      </c>
      <c r="B3459" t="str">
        <f>"11.12.2011"</f>
        <v>11.12.2011</v>
      </c>
      <c r="C3459" t="str">
        <f>"07.12.2011"</f>
        <v>07.12.2011</v>
      </c>
      <c r="D3459" t="str">
        <f>"44.880,00"</f>
        <v>44.880,00</v>
      </c>
      <c r="E3459" t="str">
        <f>"44.880,00"</f>
        <v>44.880,00</v>
      </c>
    </row>
    <row r="3462" spans="1:5" x14ac:dyDescent="0.25">
      <c r="A3462" t="str">
        <f>"809"</f>
        <v>809</v>
      </c>
      <c r="B3462" t="str">
        <f>"TIP N+V, Soběslav"</f>
        <v>TIP N+V, Soběslav</v>
      </c>
      <c r="C3462" t="str">
        <f>"18321119"</f>
        <v>18321119</v>
      </c>
    </row>
    <row r="3463" spans="1:5" x14ac:dyDescent="0.25">
      <c r="A3463" t="str">
        <f>"30.11.2011"</f>
        <v>30.11.2011</v>
      </c>
      <c r="B3463" t="str">
        <f>"03.12.2011"</f>
        <v>03.12.2011</v>
      </c>
      <c r="C3463" t="str">
        <f>"06.12.2011"</f>
        <v>06.12.2011</v>
      </c>
      <c r="D3463" t="str">
        <f>"1.836,00"</f>
        <v>1.836,00</v>
      </c>
      <c r="E3463" t="str">
        <f>"1.836,00"</f>
        <v>1.836,00</v>
      </c>
    </row>
    <row r="3466" spans="1:5" x14ac:dyDescent="0.25">
      <c r="A3466" t="str">
        <f>"810"</f>
        <v>810</v>
      </c>
      <c r="B3466" t="str">
        <f>"Antonín Hamsík Praha"</f>
        <v>Antonín Hamsík Praha</v>
      </c>
      <c r="C3466" t="str">
        <f>"48134775"</f>
        <v>48134775</v>
      </c>
    </row>
    <row r="3467" spans="1:5" x14ac:dyDescent="0.25">
      <c r="A3467" t="str">
        <f>"30.11.2011"</f>
        <v>30.11.2011</v>
      </c>
      <c r="B3467" t="str">
        <f>"05.12.2011"</f>
        <v>05.12.2011</v>
      </c>
      <c r="C3467" t="str">
        <f>"06.12.2011"</f>
        <v>06.12.2011</v>
      </c>
      <c r="D3467" t="str">
        <f>"7.000,00"</f>
        <v>7.000,00</v>
      </c>
      <c r="E3467" t="str">
        <f>"7.000,00"</f>
        <v>7.000,00</v>
      </c>
    </row>
    <row r="3470" spans="1:5" x14ac:dyDescent="0.25">
      <c r="A3470" t="str">
        <f>"811"</f>
        <v>811</v>
      </c>
      <c r="B3470" t="str">
        <f>"Ing.arch.Jaromír Kročák"</f>
        <v>Ing.arch.Jaromír Kročák</v>
      </c>
      <c r="C3470" t="str">
        <f>"10271911"</f>
        <v>10271911</v>
      </c>
    </row>
    <row r="3471" spans="1:5" x14ac:dyDescent="0.25">
      <c r="A3471" t="str">
        <f>"30.11.2011"</f>
        <v>30.11.2011</v>
      </c>
      <c r="B3471" t="str">
        <f>"12.12.2011"</f>
        <v>12.12.2011</v>
      </c>
      <c r="C3471" t="str">
        <f>"07.12.2011"</f>
        <v>07.12.2011</v>
      </c>
      <c r="D3471" t="str">
        <f>"29.370,00"</f>
        <v>29.370,00</v>
      </c>
      <c r="E3471" t="str">
        <f>"29.370,00"</f>
        <v>29.370,00</v>
      </c>
    </row>
    <row r="3474" spans="1:5" x14ac:dyDescent="0.25">
      <c r="A3474" t="str">
        <f>"812"</f>
        <v>812</v>
      </c>
      <c r="B3474" t="str">
        <f>"Roman Lněnička Praha"</f>
        <v>Roman Lněnička Praha</v>
      </c>
      <c r="C3474" t="str">
        <f>"87650223"</f>
        <v>87650223</v>
      </c>
    </row>
    <row r="3475" spans="1:5" x14ac:dyDescent="0.25">
      <c r="A3475" t="str">
        <f>"30.11.2011"</f>
        <v>30.11.2011</v>
      </c>
      <c r="B3475" t="str">
        <f>"13.12.2011"</f>
        <v>13.12.2011</v>
      </c>
      <c r="C3475" t="str">
        <f>"07.12.2011"</f>
        <v>07.12.2011</v>
      </c>
      <c r="D3475" t="str">
        <f>"1.650,00"</f>
        <v>1.650,00</v>
      </c>
      <c r="E3475" t="str">
        <f>"1.650,00"</f>
        <v>1.650,00</v>
      </c>
    </row>
    <row r="3478" spans="1:5" x14ac:dyDescent="0.25">
      <c r="A3478" t="str">
        <f>"813"</f>
        <v>813</v>
      </c>
      <c r="B3478" t="str">
        <f>"Mrázek-sdružení FO Veselí"</f>
        <v>Mrázek-sdružení FO Veselí</v>
      </c>
      <c r="C3478" t="str">
        <f>"45001251"</f>
        <v>45001251</v>
      </c>
    </row>
    <row r="3479" spans="1:5" x14ac:dyDescent="0.25">
      <c r="A3479" t="str">
        <f>"01.12.2011"</f>
        <v>01.12.2011</v>
      </c>
      <c r="B3479" t="str">
        <f>"07.12.2011"</f>
        <v>07.12.2011</v>
      </c>
      <c r="C3479" t="str">
        <f>"06.12.2011"</f>
        <v>06.12.2011</v>
      </c>
      <c r="D3479" t="str">
        <f>"2.784,00"</f>
        <v>2.784,00</v>
      </c>
      <c r="E3479" t="str">
        <f>"2.784,00"</f>
        <v>2.784,00</v>
      </c>
    </row>
    <row r="3481" spans="1:5" x14ac:dyDescent="0.25">
      <c r="A3481" t="str">
        <f>"Poř.č.fak."</f>
        <v>Poř.č.fak.</v>
      </c>
      <c r="B3481" t="str">
        <f>"Dodavatel"</f>
        <v>Dodavatel</v>
      </c>
      <c r="C3481" t="str">
        <f>"IČO"</f>
        <v>IČO</v>
      </c>
    </row>
    <row r="3482" spans="1:5" x14ac:dyDescent="0.25">
      <c r="A3482" t="str">
        <f>"Došla"</f>
        <v>Došla</v>
      </c>
      <c r="B3482" t="str">
        <f>"Splatná"</f>
        <v>Splatná</v>
      </c>
      <c r="C3482" t="str">
        <f>"Zaplacená"</f>
        <v>Zaplacená</v>
      </c>
      <c r="D3482" t="str">
        <f>"Fakt.částka"</f>
        <v>Fakt.částka</v>
      </c>
      <c r="E3482" t="str">
        <f>"Celk.zaplaceno"</f>
        <v>Celk.zaplaceno</v>
      </c>
    </row>
    <row r="3483" spans="1:5" x14ac:dyDescent="0.25">
      <c r="B3483" t="str">
        <f>"Poznámka"</f>
        <v>Poznámka</v>
      </c>
    </row>
    <row r="3484" spans="1:5" x14ac:dyDescent="0.25">
      <c r="A3484" t="str">
        <f>"**********"</f>
        <v>**********</v>
      </c>
      <c r="B3484" t="str">
        <f>"**************************"</f>
        <v>**************************</v>
      </c>
      <c r="C3484" t="str">
        <f>"***********"</f>
        <v>***********</v>
      </c>
      <c r="D3484" t="str">
        <f>"***************"</f>
        <v>***************</v>
      </c>
      <c r="E3484" t="str">
        <f>"***************"</f>
        <v>***************</v>
      </c>
    </row>
    <row r="3486" spans="1:5" x14ac:dyDescent="0.25">
      <c r="A3486" t="str">
        <f>"814"</f>
        <v>814</v>
      </c>
      <c r="B3486" t="str">
        <f>"DCS Systems,s.r.o. Praha"</f>
        <v>DCS Systems,s.r.o. Praha</v>
      </c>
      <c r="C3486" t="str">
        <f>"26178842"</f>
        <v>26178842</v>
      </c>
    </row>
    <row r="3487" spans="1:5" x14ac:dyDescent="0.25">
      <c r="A3487" t="str">
        <f>"01.12.2011"</f>
        <v>01.12.2011</v>
      </c>
      <c r="B3487" t="str">
        <f>"10.12.2011"</f>
        <v>10.12.2011</v>
      </c>
      <c r="C3487" t="str">
        <f>"07.12.2011"</f>
        <v>07.12.2011</v>
      </c>
      <c r="D3487" t="str">
        <f>"1.200,00"</f>
        <v>1.200,00</v>
      </c>
      <c r="E3487" t="str">
        <f>"1.200,00"</f>
        <v>1.200,00</v>
      </c>
    </row>
    <row r="3490" spans="1:5" x14ac:dyDescent="0.25">
      <c r="A3490" t="str">
        <f>"815"</f>
        <v>815</v>
      </c>
      <c r="B3490" t="str">
        <f>"JUDr. Vodičková POLIS"</f>
        <v>JUDr. Vodičková POLIS</v>
      </c>
      <c r="C3490" t="str">
        <f>"86593315"</f>
        <v>86593315</v>
      </c>
    </row>
    <row r="3491" spans="1:5" x14ac:dyDescent="0.25">
      <c r="A3491" t="str">
        <f>"01.12.2011"</f>
        <v>01.12.2011</v>
      </c>
      <c r="B3491" t="str">
        <f>"12.12.2011"</f>
        <v>12.12.2011</v>
      </c>
      <c r="C3491" t="str">
        <f>"07.12.2011"</f>
        <v>07.12.2011</v>
      </c>
      <c r="D3491" t="str">
        <f>"5.220,00"</f>
        <v>5.220,00</v>
      </c>
      <c r="E3491" t="str">
        <f>"5.220,00"</f>
        <v>5.220,00</v>
      </c>
    </row>
    <row r="3494" spans="1:5" x14ac:dyDescent="0.25">
      <c r="A3494" t="str">
        <f>"816"</f>
        <v>816</v>
      </c>
      <c r="B3494" t="str">
        <f>"Ivan Rillich Praha 5"</f>
        <v>Ivan Rillich Praha 5</v>
      </c>
      <c r="C3494" t="str">
        <f>"18418082"</f>
        <v>18418082</v>
      </c>
    </row>
    <row r="3495" spans="1:5" x14ac:dyDescent="0.25">
      <c r="A3495" t="str">
        <f>"01.12.2011"</f>
        <v>01.12.2011</v>
      </c>
      <c r="B3495" t="str">
        <f>"13.12.2011"</f>
        <v>13.12.2011</v>
      </c>
      <c r="C3495" t="str">
        <f>"07.12.2011"</f>
        <v>07.12.2011</v>
      </c>
      <c r="D3495" t="str">
        <f>"630,00"</f>
        <v>630,00</v>
      </c>
      <c r="E3495" t="str">
        <f>"630,00"</f>
        <v>630,00</v>
      </c>
    </row>
    <row r="3498" spans="1:5" x14ac:dyDescent="0.25">
      <c r="A3498" t="str">
        <f>"817"</f>
        <v>817</v>
      </c>
      <c r="B3498" t="str">
        <f>"Ivana Divišová Hluboká n/"</f>
        <v>Ivana Divišová Hluboká n/</v>
      </c>
      <c r="C3498" t="str">
        <f>"49065688"</f>
        <v>49065688</v>
      </c>
    </row>
    <row r="3499" spans="1:5" x14ac:dyDescent="0.25">
      <c r="A3499" t="str">
        <f>"01.12.2011"</f>
        <v>01.12.2011</v>
      </c>
      <c r="B3499" t="str">
        <f>"14.12.2011"</f>
        <v>14.12.2011</v>
      </c>
      <c r="C3499" t="str">
        <f>"07.12.2011"</f>
        <v>07.12.2011</v>
      </c>
      <c r="D3499" t="str">
        <f>"2.045,00"</f>
        <v>2.045,00</v>
      </c>
      <c r="E3499" t="str">
        <f>"2.045,00"</f>
        <v>2.045,00</v>
      </c>
    </row>
    <row r="3502" spans="1:5" x14ac:dyDescent="0.25">
      <c r="A3502" t="str">
        <f>"818"</f>
        <v>818</v>
      </c>
      <c r="B3502" t="str">
        <f>"Java Třeboň"</f>
        <v>Java Třeboň</v>
      </c>
      <c r="C3502" t="str">
        <f>"15792994"</f>
        <v>15792994</v>
      </c>
    </row>
    <row r="3503" spans="1:5" x14ac:dyDescent="0.25">
      <c r="A3503" t="str">
        <f>"02.12.2011"</f>
        <v>02.12.2011</v>
      </c>
      <c r="B3503" t="str">
        <f>"10.12.2011"</f>
        <v>10.12.2011</v>
      </c>
      <c r="C3503" t="str">
        <f>"12.12.2011"</f>
        <v>12.12.2011</v>
      </c>
      <c r="D3503" t="str">
        <f>"31.988,00"</f>
        <v>31.988,00</v>
      </c>
      <c r="E3503" t="str">
        <f>"31.988,00"</f>
        <v>31.988,00</v>
      </c>
    </row>
    <row r="3506" spans="1:5" x14ac:dyDescent="0.25">
      <c r="A3506" t="str">
        <f>"819"</f>
        <v>819</v>
      </c>
      <c r="B3506" t="str">
        <f>"JIHOSTAV s.r.o. Soběslav"</f>
        <v>JIHOSTAV s.r.o. Soběslav</v>
      </c>
      <c r="C3506" t="str">
        <f>"47239484"</f>
        <v>47239484</v>
      </c>
    </row>
    <row r="3507" spans="1:5" x14ac:dyDescent="0.25">
      <c r="A3507" t="str">
        <f>"02.12.2011"</f>
        <v>02.12.2011</v>
      </c>
      <c r="B3507" t="str">
        <f>"11.12.2011"</f>
        <v>11.12.2011</v>
      </c>
      <c r="C3507" t="str">
        <f>"12.12.2011"</f>
        <v>12.12.2011</v>
      </c>
      <c r="D3507" t="str">
        <f>"18.024,00"</f>
        <v>18.024,00</v>
      </c>
      <c r="E3507" t="str">
        <f>"18.024,00"</f>
        <v>18.024,00</v>
      </c>
    </row>
    <row r="3510" spans="1:5" x14ac:dyDescent="0.25">
      <c r="A3510" t="str">
        <f>"820"</f>
        <v>820</v>
      </c>
      <c r="B3510" t="str">
        <f>"Česká pošta, s.p. Praha"</f>
        <v>Česká pošta, s.p. Praha</v>
      </c>
      <c r="C3510" t="str">
        <f>"47114983"</f>
        <v>47114983</v>
      </c>
    </row>
    <row r="3511" spans="1:5" x14ac:dyDescent="0.25">
      <c r="A3511" t="str">
        <f>"02.12.2011"</f>
        <v>02.12.2011</v>
      </c>
      <c r="B3511" t="str">
        <f>"14.12.2011"</f>
        <v>14.12.2011</v>
      </c>
      <c r="C3511" t="str">
        <f>"12.12.2011"</f>
        <v>12.12.2011</v>
      </c>
      <c r="D3511" t="str">
        <f>"396,00"</f>
        <v>396,00</v>
      </c>
      <c r="E3511" t="str">
        <f>"396,00"</f>
        <v>396,00</v>
      </c>
    </row>
    <row r="3514" spans="1:5" x14ac:dyDescent="0.25">
      <c r="A3514" t="str">
        <f>"821"</f>
        <v>821</v>
      </c>
      <c r="B3514" t="str">
        <f>"Vltava-Labe-Press a.s."</f>
        <v>Vltava-Labe-Press a.s.</v>
      </c>
      <c r="C3514" t="str">
        <f>"61860981"</f>
        <v>61860981</v>
      </c>
    </row>
    <row r="3515" spans="1:5" x14ac:dyDescent="0.25">
      <c r="A3515" t="str">
        <f>"02.12.2011"</f>
        <v>02.12.2011</v>
      </c>
      <c r="B3515" t="str">
        <f>"14.12.2011"</f>
        <v>14.12.2011</v>
      </c>
      <c r="C3515" t="str">
        <f>"12.12.2011"</f>
        <v>12.12.2011</v>
      </c>
      <c r="D3515" t="str">
        <f>"3.588,00"</f>
        <v>3.588,00</v>
      </c>
      <c r="E3515" t="str">
        <f>"3.588,00"</f>
        <v>3.588,00</v>
      </c>
    </row>
    <row r="3518" spans="1:5" x14ac:dyDescent="0.25">
      <c r="A3518" t="str">
        <f>"822"</f>
        <v>822</v>
      </c>
      <c r="B3518" t="str">
        <f>"ECO  s.r.o. Tábor"</f>
        <v>ECO  s.r.o. Tábor</v>
      </c>
      <c r="C3518" t="str">
        <f>"63907828"</f>
        <v>63907828</v>
      </c>
    </row>
    <row r="3519" spans="1:5" x14ac:dyDescent="0.25">
      <c r="A3519" t="str">
        <f>"02.12.2011"</f>
        <v>02.12.2011</v>
      </c>
      <c r="B3519" t="str">
        <f>"15.12.2011"</f>
        <v>15.12.2011</v>
      </c>
      <c r="C3519" t="str">
        <f>"12.12.2011"</f>
        <v>12.12.2011</v>
      </c>
      <c r="D3519" t="str">
        <f>"9.900,00"</f>
        <v>9.900,00</v>
      </c>
      <c r="E3519" t="str">
        <f>"9.900,00"</f>
        <v>9.900,00</v>
      </c>
    </row>
    <row r="3522" spans="1:5" x14ac:dyDescent="0.25">
      <c r="A3522" t="str">
        <f>"823"</f>
        <v>823</v>
      </c>
      <c r="B3522" t="str">
        <f>"Sodexo Pass ČR a.s. Praha"</f>
        <v>Sodexo Pass ČR a.s. Praha</v>
      </c>
      <c r="C3522" t="str">
        <f>"61860476"</f>
        <v>61860476</v>
      </c>
    </row>
    <row r="3523" spans="1:5" x14ac:dyDescent="0.25">
      <c r="A3523" t="str">
        <f>"02.12.2011"</f>
        <v>02.12.2011</v>
      </c>
      <c r="B3523" t="str">
        <f>"15.12.2011"</f>
        <v>15.12.2011</v>
      </c>
      <c r="C3523" t="str">
        <f>"12.12.2011"</f>
        <v>12.12.2011</v>
      </c>
      <c r="D3523" t="str">
        <f>"40.204,00"</f>
        <v>40.204,00</v>
      </c>
      <c r="E3523" t="str">
        <f>"40.204,00"</f>
        <v>40.204,00</v>
      </c>
    </row>
    <row r="3526" spans="1:5" x14ac:dyDescent="0.25">
      <c r="A3526" t="str">
        <f>"824"</f>
        <v>824</v>
      </c>
      <c r="B3526" t="str">
        <f>"SEVT Print Praha a.s."</f>
        <v>SEVT Print Praha a.s.</v>
      </c>
      <c r="C3526" t="str">
        <f>"25644670"</f>
        <v>25644670</v>
      </c>
    </row>
    <row r="3527" spans="1:5" x14ac:dyDescent="0.25">
      <c r="A3527" t="str">
        <f>"05.12.2011"</f>
        <v>05.12.2011</v>
      </c>
      <c r="B3527" t="str">
        <f>"06.12.2011"</f>
        <v>06.12.2011</v>
      </c>
      <c r="C3527" t="str">
        <f>"12.12.2011"</f>
        <v>12.12.2011</v>
      </c>
      <c r="D3527" t="str">
        <f>"3.900,00"</f>
        <v>3.900,00</v>
      </c>
      <c r="E3527" t="str">
        <f>"3.900,00"</f>
        <v>3.900,00</v>
      </c>
    </row>
    <row r="3530" spans="1:5" x14ac:dyDescent="0.25">
      <c r="A3530" t="str">
        <f>"825"</f>
        <v>825</v>
      </c>
      <c r="B3530" t="str">
        <f>"Hajný-T s.r.o."</f>
        <v>Hajný-T s.r.o.</v>
      </c>
      <c r="C3530" t="str">
        <f>"63886839"</f>
        <v>63886839</v>
      </c>
    </row>
    <row r="3531" spans="1:5" x14ac:dyDescent="0.25">
      <c r="A3531" t="str">
        <f>"05.12.2011"</f>
        <v>05.12.2011</v>
      </c>
      <c r="B3531" t="str">
        <f>"14.12.2011"</f>
        <v>14.12.2011</v>
      </c>
      <c r="C3531" t="str">
        <f>"12.12.2011"</f>
        <v>12.12.2011</v>
      </c>
      <c r="D3531" t="str">
        <f>"2.000,00"</f>
        <v>2.000,00</v>
      </c>
      <c r="E3531" t="str">
        <f>"2.000,00"</f>
        <v>2.000,00</v>
      </c>
    </row>
    <row r="3534" spans="1:5" x14ac:dyDescent="0.25">
      <c r="A3534" t="str">
        <f>"826"</f>
        <v>826</v>
      </c>
      <c r="B3534" t="str">
        <f>"Hajný-T s.r.o."</f>
        <v>Hajný-T s.r.o.</v>
      </c>
      <c r="C3534" t="str">
        <f>"63886839"</f>
        <v>63886839</v>
      </c>
    </row>
    <row r="3535" spans="1:5" x14ac:dyDescent="0.25">
      <c r="A3535" t="str">
        <f>"05.12.2011"</f>
        <v>05.12.2011</v>
      </c>
      <c r="B3535" t="str">
        <f>"14.12.2011"</f>
        <v>14.12.2011</v>
      </c>
      <c r="C3535" t="str">
        <f>"12.12.2011"</f>
        <v>12.12.2011</v>
      </c>
      <c r="D3535" t="str">
        <f>"4.832,00"</f>
        <v>4.832,00</v>
      </c>
      <c r="E3535" t="str">
        <f>"4.832,00"</f>
        <v>4.832,00</v>
      </c>
    </row>
    <row r="3538" spans="1:5" x14ac:dyDescent="0.25">
      <c r="A3538" t="str">
        <f>"827"</f>
        <v>827</v>
      </c>
      <c r="B3538" t="str">
        <f>"MANUTAN s.r.o. Ostrava"</f>
        <v>MANUTAN s.r.o. Ostrava</v>
      </c>
      <c r="C3538" t="str">
        <f>"25820702"</f>
        <v>25820702</v>
      </c>
    </row>
    <row r="3539" spans="1:5" x14ac:dyDescent="0.25">
      <c r="A3539" t="str">
        <f>"05.12.2011"</f>
        <v>05.12.2011</v>
      </c>
      <c r="B3539" t="str">
        <f>"15.12.2011"</f>
        <v>15.12.2011</v>
      </c>
      <c r="C3539" t="str">
        <f>"12.12.2011"</f>
        <v>12.12.2011</v>
      </c>
      <c r="D3539" t="str">
        <f>"8.321,10"</f>
        <v>8.321,10</v>
      </c>
      <c r="E3539" t="str">
        <f>"8.321,10"</f>
        <v>8.321,10</v>
      </c>
    </row>
    <row r="3541" spans="1:5" x14ac:dyDescent="0.25">
      <c r="A3541" t="str">
        <f>"Poř.č.fak."</f>
        <v>Poř.č.fak.</v>
      </c>
      <c r="B3541" t="str">
        <f>"Dodavatel"</f>
        <v>Dodavatel</v>
      </c>
      <c r="C3541" t="str">
        <f>"IČO"</f>
        <v>IČO</v>
      </c>
    </row>
    <row r="3542" spans="1:5" x14ac:dyDescent="0.25">
      <c r="A3542" t="str">
        <f>"Došla"</f>
        <v>Došla</v>
      </c>
      <c r="B3542" t="str">
        <f>"Splatná"</f>
        <v>Splatná</v>
      </c>
      <c r="C3542" t="str">
        <f>"Zaplacená"</f>
        <v>Zaplacená</v>
      </c>
      <c r="D3542" t="str">
        <f>"Fakt.částka"</f>
        <v>Fakt.částka</v>
      </c>
      <c r="E3542" t="str">
        <f>"Celk.zaplaceno"</f>
        <v>Celk.zaplaceno</v>
      </c>
    </row>
    <row r="3543" spans="1:5" x14ac:dyDescent="0.25">
      <c r="B3543" t="str">
        <f>"Poznámka"</f>
        <v>Poznámka</v>
      </c>
    </row>
    <row r="3544" spans="1:5" x14ac:dyDescent="0.25">
      <c r="A3544" t="str">
        <f>"**********"</f>
        <v>**********</v>
      </c>
      <c r="B3544" t="str">
        <f>"**************************"</f>
        <v>**************************</v>
      </c>
      <c r="C3544" t="str">
        <f>"***********"</f>
        <v>***********</v>
      </c>
      <c r="D3544" t="str">
        <f>"***************"</f>
        <v>***************</v>
      </c>
      <c r="E3544" t="str">
        <f>"***************"</f>
        <v>***************</v>
      </c>
    </row>
    <row r="3546" spans="1:5" x14ac:dyDescent="0.25">
      <c r="A3546" t="str">
        <f>"828"</f>
        <v>828</v>
      </c>
      <c r="B3546" t="str">
        <f>"Ing.Libor Kníže Malšice"</f>
        <v>Ing.Libor Kníže Malšice</v>
      </c>
      <c r="C3546" t="str">
        <f>"74585029"</f>
        <v>74585029</v>
      </c>
    </row>
    <row r="3547" spans="1:5" x14ac:dyDescent="0.25">
      <c r="A3547" t="str">
        <f>"05.12.2011"</f>
        <v>05.12.2011</v>
      </c>
      <c r="B3547" t="str">
        <f>"16.12.2011"</f>
        <v>16.12.2011</v>
      </c>
      <c r="C3547" t="str">
        <f>"13.12.2011"</f>
        <v>13.12.2011</v>
      </c>
      <c r="D3547" t="str">
        <f>"21.600,00"</f>
        <v>21.600,00</v>
      </c>
      <c r="E3547" t="str">
        <f>"21.600,00"</f>
        <v>21.600,00</v>
      </c>
    </row>
    <row r="3550" spans="1:5" x14ac:dyDescent="0.25">
      <c r="A3550" t="str">
        <f>"829"</f>
        <v>829</v>
      </c>
      <c r="B3550" t="str">
        <f>"Spilka a Říha s.r.o. Sobě"</f>
        <v>Spilka a Říha s.r.o. Sobě</v>
      </c>
      <c r="C3550" t="str">
        <f>"45021309"</f>
        <v>45021309</v>
      </c>
    </row>
    <row r="3551" spans="1:5" x14ac:dyDescent="0.25">
      <c r="A3551" t="str">
        <f>"01.12.2011"</f>
        <v>01.12.2011</v>
      </c>
      <c r="B3551" t="str">
        <f>"12.12.2011"</f>
        <v>12.12.2011</v>
      </c>
      <c r="C3551" t="str">
        <f>"12.12.2011"</f>
        <v>12.12.2011</v>
      </c>
      <c r="D3551" t="str">
        <f>"60.733,00"</f>
        <v>60.733,00</v>
      </c>
      <c r="E3551" t="str">
        <f>"60.733,00"</f>
        <v>60.733,00</v>
      </c>
    </row>
    <row r="3554" spans="1:5" x14ac:dyDescent="0.25">
      <c r="A3554" t="str">
        <f>"830"</f>
        <v>830</v>
      </c>
      <c r="B3554" t="str">
        <f>"HYDROPROJEKT CZ a.s. Č.B."</f>
        <v>HYDROPROJEKT CZ a.s. Č.B.</v>
      </c>
      <c r="C3554" t="str">
        <f>"26475081"</f>
        <v>26475081</v>
      </c>
    </row>
    <row r="3555" spans="1:5" x14ac:dyDescent="0.25">
      <c r="A3555" t="str">
        <f>"01.12.2011"</f>
        <v>01.12.2011</v>
      </c>
      <c r="B3555" t="str">
        <f>"13.12.2011"</f>
        <v>13.12.2011</v>
      </c>
      <c r="C3555" t="str">
        <f>"12.12.2011"</f>
        <v>12.12.2011</v>
      </c>
      <c r="D3555" t="str">
        <f>"48.000,00"</f>
        <v>48.000,00</v>
      </c>
      <c r="E3555" t="str">
        <f>"48.000,00"</f>
        <v>48.000,00</v>
      </c>
    </row>
    <row r="3558" spans="1:5" x14ac:dyDescent="0.25">
      <c r="A3558" t="str">
        <f>"831"</f>
        <v>831</v>
      </c>
      <c r="B3558" t="str">
        <f>"GEOVAP s.r.o. Pardubice"</f>
        <v>GEOVAP s.r.o. Pardubice</v>
      </c>
      <c r="C3558" t="str">
        <f>"15049248"</f>
        <v>15049248</v>
      </c>
    </row>
    <row r="3559" spans="1:5" x14ac:dyDescent="0.25">
      <c r="A3559" t="str">
        <f>"06.12.2011"</f>
        <v>06.12.2011</v>
      </c>
      <c r="B3559" t="str">
        <f>"19.12.2011"</f>
        <v>19.12.2011</v>
      </c>
      <c r="C3559" t="str">
        <f>"13.12.2011"</f>
        <v>13.12.2011</v>
      </c>
      <c r="D3559" t="str">
        <f>"2.000,00"</f>
        <v>2.000,00</v>
      </c>
      <c r="E3559" t="str">
        <f>"2.000,00"</f>
        <v>2.000,00</v>
      </c>
    </row>
    <row r="3562" spans="1:5" x14ac:dyDescent="0.25">
      <c r="A3562" t="str">
        <f>"832"</f>
        <v>832</v>
      </c>
      <c r="B3562" t="str">
        <f>"GEOVAP s.r.o. Pardubice"</f>
        <v>GEOVAP s.r.o. Pardubice</v>
      </c>
      <c r="C3562" t="str">
        <f>"15049248"</f>
        <v>15049248</v>
      </c>
    </row>
    <row r="3563" spans="1:5" x14ac:dyDescent="0.25">
      <c r="A3563" t="str">
        <f>"06.12.2011"</f>
        <v>06.12.2011</v>
      </c>
      <c r="B3563" t="str">
        <f>"19.12.2011"</f>
        <v>19.12.2011</v>
      </c>
      <c r="C3563" t="str">
        <f>"13.12.2011"</f>
        <v>13.12.2011</v>
      </c>
      <c r="D3563" t="str">
        <f>"5.010,00"</f>
        <v>5.010,00</v>
      </c>
      <c r="E3563" t="str">
        <f>"5.010,00"</f>
        <v>5.010,00</v>
      </c>
    </row>
    <row r="3566" spans="1:5" x14ac:dyDescent="0.25">
      <c r="A3566" t="str">
        <f>"833"</f>
        <v>833</v>
      </c>
      <c r="B3566" t="str">
        <f>"BENZINA ,s.r.o. Praha 4"</f>
        <v>BENZINA ,s.r.o. Praha 4</v>
      </c>
      <c r="C3566" t="str">
        <f>"60193328"</f>
        <v>60193328</v>
      </c>
    </row>
    <row r="3567" spans="1:5" x14ac:dyDescent="0.25">
      <c r="A3567" t="str">
        <f>"07.12.2011"</f>
        <v>07.12.2011</v>
      </c>
      <c r="B3567" t="str">
        <f>"07.12.2011"</f>
        <v>07.12.2011</v>
      </c>
      <c r="C3567" t="str">
        <f>"07.12.2011"</f>
        <v>07.12.2011</v>
      </c>
      <c r="D3567" t="str">
        <f>"13.082,96"</f>
        <v>13.082,96</v>
      </c>
      <c r="E3567" t="str">
        <f>"13.082,96"</f>
        <v>13.082,96</v>
      </c>
    </row>
    <row r="3570" spans="1:5" x14ac:dyDescent="0.25">
      <c r="A3570" t="str">
        <f>"834"</f>
        <v>834</v>
      </c>
      <c r="B3570" t="str">
        <f>"BANNER s.r.o. Sez. Ústí"</f>
        <v>BANNER s.r.o. Sez. Ústí</v>
      </c>
      <c r="C3570" t="str">
        <f>"46682821"</f>
        <v>46682821</v>
      </c>
    </row>
    <row r="3571" spans="1:5" x14ac:dyDescent="0.25">
      <c r="A3571" t="str">
        <f>"07.12.2011"</f>
        <v>07.12.2011</v>
      </c>
      <c r="B3571" t="str">
        <f>"20.12.2011"</f>
        <v>20.12.2011</v>
      </c>
      <c r="C3571" t="str">
        <f>"15.12.2011"</f>
        <v>15.12.2011</v>
      </c>
      <c r="D3571" t="str">
        <f>"2.400,00"</f>
        <v>2.400,00</v>
      </c>
      <c r="E3571" t="str">
        <f>"2.400,00"</f>
        <v>2.400,00</v>
      </c>
    </row>
    <row r="3574" spans="1:5" x14ac:dyDescent="0.25">
      <c r="A3574" t="str">
        <f>"835"</f>
        <v>835</v>
      </c>
      <c r="B3574" t="str">
        <f>"TJ SPARTAK Soběslav"</f>
        <v>TJ SPARTAK Soběslav</v>
      </c>
      <c r="C3574" t="str">
        <f>"46632191"</f>
        <v>46632191</v>
      </c>
    </row>
    <row r="3575" spans="1:5" x14ac:dyDescent="0.25">
      <c r="A3575" t="str">
        <f>"07.12.2011"</f>
        <v>07.12.2011</v>
      </c>
      <c r="B3575" t="str">
        <f>"19.12.2011"</f>
        <v>19.12.2011</v>
      </c>
      <c r="C3575" t="str">
        <f>"13.12.2011"</f>
        <v>13.12.2011</v>
      </c>
      <c r="D3575" t="str">
        <f>"2.720,00"</f>
        <v>2.720,00</v>
      </c>
      <c r="E3575" t="str">
        <f>"2.720,00"</f>
        <v>2.720,00</v>
      </c>
    </row>
    <row r="3578" spans="1:5" x14ac:dyDescent="0.25">
      <c r="A3578" t="str">
        <f>"836"</f>
        <v>836</v>
      </c>
      <c r="B3578" t="str">
        <f>"RUMPOLD s.r.o. Tábor"</f>
        <v>RUMPOLD s.r.o. Tábor</v>
      </c>
      <c r="C3578" t="str">
        <f>"61459364"</f>
        <v>61459364</v>
      </c>
    </row>
    <row r="3579" spans="1:5" x14ac:dyDescent="0.25">
      <c r="A3579" t="str">
        <f>"07.12.2011"</f>
        <v>07.12.2011</v>
      </c>
      <c r="B3579" t="str">
        <f>"30.12.2011"</f>
        <v>30.12.2011</v>
      </c>
      <c r="C3579" t="str">
        <f>"15.12.2011"</f>
        <v>15.12.2011</v>
      </c>
      <c r="D3579" t="str">
        <f>"3.974,00"</f>
        <v>3.974,00</v>
      </c>
      <c r="E3579" t="str">
        <f>"3.974,00"</f>
        <v>3.974,00</v>
      </c>
    </row>
    <row r="3582" spans="1:5" x14ac:dyDescent="0.25">
      <c r="A3582" t="str">
        <f>"837"</f>
        <v>837</v>
      </c>
      <c r="B3582" t="str">
        <f>"Jednota OD Tábor"</f>
        <v>Jednota OD Tábor</v>
      </c>
      <c r="C3582" t="str">
        <f>"00031925"</f>
        <v>00031925</v>
      </c>
    </row>
    <row r="3583" spans="1:5" x14ac:dyDescent="0.25">
      <c r="A3583" t="str">
        <f>"07.12.2011"</f>
        <v>07.12.2011</v>
      </c>
      <c r="B3583" t="str">
        <f>"16.12.2011"</f>
        <v>16.12.2011</v>
      </c>
      <c r="C3583" t="str">
        <f>"13.12.2011"</f>
        <v>13.12.2011</v>
      </c>
      <c r="D3583" t="str">
        <f>"9.321,70"</f>
        <v>9.321,70</v>
      </c>
      <c r="E3583" t="str">
        <f>"9.321,70"</f>
        <v>9.321,70</v>
      </c>
    </row>
    <row r="3586" spans="1:5" x14ac:dyDescent="0.25">
      <c r="A3586" t="str">
        <f>"838"</f>
        <v>838</v>
      </c>
      <c r="B3586" t="str">
        <f>"RABMER-sanace potrubí"</f>
        <v>RABMER-sanace potrubí</v>
      </c>
      <c r="C3586" t="str">
        <f>"60647418"</f>
        <v>60647418</v>
      </c>
    </row>
    <row r="3587" spans="1:5" x14ac:dyDescent="0.25">
      <c r="A3587" t="str">
        <f>"07.12.2011"</f>
        <v>07.12.2011</v>
      </c>
      <c r="B3587" t="str">
        <f>"14.12.2011"</f>
        <v>14.12.2011</v>
      </c>
      <c r="C3587" t="str">
        <f>"13.12.2011"</f>
        <v>13.12.2011</v>
      </c>
      <c r="D3587" t="str">
        <f>"10.800,00"</f>
        <v>10.800,00</v>
      </c>
      <c r="E3587" t="str">
        <f>"10.800,00"</f>
        <v>10.800,00</v>
      </c>
    </row>
    <row r="3590" spans="1:5" x14ac:dyDescent="0.25">
      <c r="A3590" t="str">
        <f>"839"</f>
        <v>839</v>
      </c>
      <c r="B3590" t="str">
        <f>"Centrum služeb Praha"</f>
        <v>Centrum služeb Praha</v>
      </c>
      <c r="C3590" t="str">
        <f>"70898219"</f>
        <v>70898219</v>
      </c>
    </row>
    <row r="3591" spans="1:5" x14ac:dyDescent="0.25">
      <c r="A3591" t="str">
        <f>"07.12.2011"</f>
        <v>07.12.2011</v>
      </c>
      <c r="B3591" t="str">
        <f>"20.12.2011"</f>
        <v>20.12.2011</v>
      </c>
      <c r="C3591" t="str">
        <f>"14.12.2011"</f>
        <v>14.12.2011</v>
      </c>
      <c r="D3591" t="str">
        <f>"14.208,00"</f>
        <v>14.208,00</v>
      </c>
      <c r="E3591" t="str">
        <f>"14.208,00"</f>
        <v>14.208,00</v>
      </c>
    </row>
    <row r="3594" spans="1:5" x14ac:dyDescent="0.25">
      <c r="A3594" t="str">
        <f>"840"</f>
        <v>840</v>
      </c>
      <c r="B3594" t="str">
        <f>"RABMER-sanace potrubí"</f>
        <v>RABMER-sanace potrubí</v>
      </c>
      <c r="C3594" t="str">
        <f>"60647418"</f>
        <v>60647418</v>
      </c>
    </row>
    <row r="3595" spans="1:5" x14ac:dyDescent="0.25">
      <c r="A3595" t="str">
        <f>"07.12.2011"</f>
        <v>07.12.2011</v>
      </c>
      <c r="B3595" t="str">
        <f>"05.01.2012"</f>
        <v>05.01.2012</v>
      </c>
      <c r="C3595" t="str">
        <f>"15.12.2011"</f>
        <v>15.12.2011</v>
      </c>
      <c r="D3595" t="str">
        <f>"836.796,00"</f>
        <v>836.796,00</v>
      </c>
      <c r="E3595" t="str">
        <f>"836.796,00"</f>
        <v>836.796,00</v>
      </c>
    </row>
    <row r="3598" spans="1:5" x14ac:dyDescent="0.25">
      <c r="A3598" t="str">
        <f>"841"</f>
        <v>841</v>
      </c>
      <c r="B3598" t="str">
        <f>"Telefónica 02 CR, a.s."</f>
        <v>Telefónica 02 CR, a.s.</v>
      </c>
      <c r="C3598" t="str">
        <f>"60193336"</f>
        <v>60193336</v>
      </c>
    </row>
    <row r="3599" spans="1:5" x14ac:dyDescent="0.25">
      <c r="A3599" t="str">
        <f>"08.12.2011"</f>
        <v>08.12.2011</v>
      </c>
      <c r="B3599" t="str">
        <f>"19.12.2011"</f>
        <v>19.12.2011</v>
      </c>
      <c r="C3599" t="str">
        <f>"13.12.2011"</f>
        <v>13.12.2011</v>
      </c>
      <c r="D3599" t="str">
        <f>"40,75"</f>
        <v>40,75</v>
      </c>
      <c r="E3599" t="str">
        <f>"40,75"</f>
        <v>40,75</v>
      </c>
    </row>
    <row r="3601" spans="1:5" x14ac:dyDescent="0.25">
      <c r="A3601" t="str">
        <f>"Poř.č.fak."</f>
        <v>Poř.č.fak.</v>
      </c>
      <c r="B3601" t="str">
        <f>"Dodavatel"</f>
        <v>Dodavatel</v>
      </c>
      <c r="C3601" t="str">
        <f>"IČO"</f>
        <v>IČO</v>
      </c>
    </row>
    <row r="3602" spans="1:5" x14ac:dyDescent="0.25">
      <c r="A3602" t="str">
        <f>"Došla"</f>
        <v>Došla</v>
      </c>
      <c r="B3602" t="str">
        <f>"Splatná"</f>
        <v>Splatná</v>
      </c>
      <c r="C3602" t="str">
        <f>"Zaplacená"</f>
        <v>Zaplacená</v>
      </c>
      <c r="D3602" t="str">
        <f>"Fakt.částka"</f>
        <v>Fakt.částka</v>
      </c>
      <c r="E3602" t="str">
        <f>"Celk.zaplaceno"</f>
        <v>Celk.zaplaceno</v>
      </c>
    </row>
    <row r="3603" spans="1:5" x14ac:dyDescent="0.25">
      <c r="B3603" t="str">
        <f>"Poznámka"</f>
        <v>Poznámka</v>
      </c>
    </row>
    <row r="3604" spans="1:5" x14ac:dyDescent="0.25">
      <c r="A3604" t="str">
        <f>"**********"</f>
        <v>**********</v>
      </c>
      <c r="B3604" t="str">
        <f>"**************************"</f>
        <v>**************************</v>
      </c>
      <c r="C3604" t="str">
        <f>"***********"</f>
        <v>***********</v>
      </c>
      <c r="D3604" t="str">
        <f>"***************"</f>
        <v>***************</v>
      </c>
      <c r="E3604" t="str">
        <f>"***************"</f>
        <v>***************</v>
      </c>
    </row>
    <row r="3606" spans="1:5" x14ac:dyDescent="0.25">
      <c r="A3606" t="str">
        <f>"842"</f>
        <v>842</v>
      </c>
      <c r="B3606" t="str">
        <f>"Česká pošta, s.p. Praha"</f>
        <v>Česká pošta, s.p. Praha</v>
      </c>
      <c r="C3606" t="str">
        <f>"47114983"</f>
        <v>47114983</v>
      </c>
    </row>
    <row r="3607" spans="1:5" x14ac:dyDescent="0.25">
      <c r="A3607" t="str">
        <f>"08.12.2011"</f>
        <v>08.12.2011</v>
      </c>
      <c r="B3607" t="str">
        <f>"21.12.2011"</f>
        <v>21.12.2011</v>
      </c>
      <c r="C3607" t="str">
        <f>"14.12.2011"</f>
        <v>14.12.2011</v>
      </c>
      <c r="D3607" t="str">
        <f>"720,00"</f>
        <v>720,00</v>
      </c>
      <c r="E3607" t="str">
        <f>"720,00"</f>
        <v>720,00</v>
      </c>
    </row>
    <row r="3610" spans="1:5" x14ac:dyDescent="0.25">
      <c r="A3610" t="str">
        <f>"843"</f>
        <v>843</v>
      </c>
      <c r="B3610" t="str">
        <f>"Technické služby, s.r.o."</f>
        <v>Technické služby, s.r.o.</v>
      </c>
      <c r="C3610" t="str">
        <f>"62502565"</f>
        <v>62502565</v>
      </c>
    </row>
    <row r="3611" spans="1:5" x14ac:dyDescent="0.25">
      <c r="A3611" t="str">
        <f>"08.12.2011"</f>
        <v>08.12.2011</v>
      </c>
      <c r="B3611" t="str">
        <f>"20.12.2011"</f>
        <v>20.12.2011</v>
      </c>
      <c r="C3611" t="str">
        <f>"15.12.2011"</f>
        <v>15.12.2011</v>
      </c>
      <c r="D3611" t="str">
        <f>"4.320,00"</f>
        <v>4.320,00</v>
      </c>
      <c r="E3611" t="str">
        <f>"4.320,00"</f>
        <v>4.320,00</v>
      </c>
    </row>
    <row r="3614" spans="1:5" x14ac:dyDescent="0.25">
      <c r="A3614" t="str">
        <f>"844"</f>
        <v>844</v>
      </c>
      <c r="B3614" t="str">
        <f>"QASAR s.r.o. Mažice"</f>
        <v>QASAR s.r.o. Mažice</v>
      </c>
      <c r="C3614" t="str">
        <f>"25192469"</f>
        <v>25192469</v>
      </c>
    </row>
    <row r="3615" spans="1:5" x14ac:dyDescent="0.25">
      <c r="A3615" t="str">
        <f>"08.12.2011"</f>
        <v>08.12.2011</v>
      </c>
      <c r="B3615" t="str">
        <f>"31.12.2011"</f>
        <v>31.12.2011</v>
      </c>
      <c r="C3615" t="str">
        <f>"15.12.2011"</f>
        <v>15.12.2011</v>
      </c>
      <c r="D3615" t="str">
        <f>"4.800,00"</f>
        <v>4.800,00</v>
      </c>
      <c r="E3615" t="str">
        <f>"4.800,00"</f>
        <v>4.800,00</v>
      </c>
    </row>
    <row r="3618" spans="1:5" x14ac:dyDescent="0.25">
      <c r="A3618" t="str">
        <f>"845"</f>
        <v>845</v>
      </c>
      <c r="B3618" t="str">
        <f>"Správa města Soběslavi"</f>
        <v>Správa města Soběslavi</v>
      </c>
      <c r="C3618" t="str">
        <f>"26029987"</f>
        <v>26029987</v>
      </c>
    </row>
    <row r="3619" spans="1:5" x14ac:dyDescent="0.25">
      <c r="A3619" t="str">
        <f>"08.12.2011"</f>
        <v>08.12.2011</v>
      </c>
      <c r="B3619" t="str">
        <f>"22.12.2011"</f>
        <v>22.12.2011</v>
      </c>
      <c r="C3619" t="str">
        <f>"14.12.2011"</f>
        <v>14.12.2011</v>
      </c>
      <c r="D3619" t="str">
        <f>"940.004,00"</f>
        <v>940.004,00</v>
      </c>
      <c r="E3619" t="str">
        <f>"940.004,00"</f>
        <v>940.004,00</v>
      </c>
    </row>
    <row r="3622" spans="1:5" x14ac:dyDescent="0.25">
      <c r="A3622" t="str">
        <f>"846"</f>
        <v>846</v>
      </c>
      <c r="B3622" t="str">
        <f>"KONICA MINOLTA s.r.o."</f>
        <v>KONICA MINOLTA s.r.o.</v>
      </c>
      <c r="C3622" t="str">
        <f>"00176150"</f>
        <v>00176150</v>
      </c>
    </row>
    <row r="3623" spans="1:5" x14ac:dyDescent="0.25">
      <c r="A3623" t="str">
        <f>"09.12.2011"</f>
        <v>09.12.2011</v>
      </c>
      <c r="B3623" t="str">
        <f>"15.12.2011"</f>
        <v>15.12.2011</v>
      </c>
      <c r="C3623" t="str">
        <f>"13.12.2011"</f>
        <v>13.12.2011</v>
      </c>
      <c r="D3623" t="str">
        <f>"367,20"</f>
        <v>367,20</v>
      </c>
      <c r="E3623" t="str">
        <f>"367,20"</f>
        <v>367,20</v>
      </c>
    </row>
    <row r="3626" spans="1:5" x14ac:dyDescent="0.25">
      <c r="A3626" t="str">
        <f>"847"</f>
        <v>847</v>
      </c>
      <c r="B3626" t="str">
        <f>"KONICA MINOLTA s.r.o."</f>
        <v>KONICA MINOLTA s.r.o.</v>
      </c>
      <c r="C3626" t="str">
        <f>"00176150"</f>
        <v>00176150</v>
      </c>
    </row>
    <row r="3627" spans="1:5" x14ac:dyDescent="0.25">
      <c r="A3627" t="str">
        <f>"09.12.2011"</f>
        <v>09.12.2011</v>
      </c>
      <c r="B3627" t="str">
        <f>"15.12.2011"</f>
        <v>15.12.2011</v>
      </c>
      <c r="C3627" t="str">
        <f>"13.12.2011"</f>
        <v>13.12.2011</v>
      </c>
      <c r="D3627" t="str">
        <f>"1.729,70"</f>
        <v>1.729,70</v>
      </c>
      <c r="E3627" t="str">
        <f>"1.729,70"</f>
        <v>1.729,70</v>
      </c>
    </row>
    <row r="3630" spans="1:5" x14ac:dyDescent="0.25">
      <c r="A3630" t="str">
        <f>"848"</f>
        <v>848</v>
      </c>
      <c r="B3630" t="str">
        <f>"Česká pošta ,s.p. Praha 1"</f>
        <v>Česká pošta ,s.p. Praha 1</v>
      </c>
      <c r="C3630" t="str">
        <f>"47114983"</f>
        <v>47114983</v>
      </c>
    </row>
    <row r="3631" spans="1:5" x14ac:dyDescent="0.25">
      <c r="A3631" t="str">
        <f>"09.12.2011"</f>
        <v>09.12.2011</v>
      </c>
      <c r="B3631" t="str">
        <f>"20.12.2011"</f>
        <v>20.12.2011</v>
      </c>
      <c r="C3631" t="str">
        <f>"14.12.2011"</f>
        <v>14.12.2011</v>
      </c>
      <c r="D3631" t="str">
        <f>"399,00"</f>
        <v>399,00</v>
      </c>
      <c r="E3631" t="str">
        <f>"399,00"</f>
        <v>399,00</v>
      </c>
    </row>
    <row r="3634" spans="1:5" x14ac:dyDescent="0.25">
      <c r="A3634" t="str">
        <f>"849"</f>
        <v>849</v>
      </c>
      <c r="B3634" t="str">
        <f>"Telefónica 02 CR a.s."</f>
        <v>Telefónica 02 CR a.s.</v>
      </c>
      <c r="C3634" t="str">
        <f>"60193336"</f>
        <v>60193336</v>
      </c>
    </row>
    <row r="3635" spans="1:5" x14ac:dyDescent="0.25">
      <c r="A3635" t="str">
        <f>"09.12.2011"</f>
        <v>09.12.2011</v>
      </c>
      <c r="B3635" t="str">
        <f>"16.12.2011"</f>
        <v>16.12.2011</v>
      </c>
      <c r="C3635" t="str">
        <f>"13.12.2011"</f>
        <v>13.12.2011</v>
      </c>
      <c r="D3635" t="str">
        <f>"1,20"</f>
        <v>1,20</v>
      </c>
      <c r="E3635" t="str">
        <f>"1,20"</f>
        <v>1,20</v>
      </c>
    </row>
    <row r="3638" spans="1:5" x14ac:dyDescent="0.25">
      <c r="A3638" t="str">
        <f>"850"</f>
        <v>850</v>
      </c>
      <c r="B3638" t="str">
        <f>"Telefónica 02 CR a.s."</f>
        <v>Telefónica 02 CR a.s.</v>
      </c>
      <c r="C3638" t="str">
        <f>"60193336"</f>
        <v>60193336</v>
      </c>
    </row>
    <row r="3639" spans="1:5" x14ac:dyDescent="0.25">
      <c r="A3639" t="str">
        <f>"09.12.2011"</f>
        <v>09.12.2011</v>
      </c>
      <c r="B3639" t="str">
        <f>"16.12.2011"</f>
        <v>16.12.2011</v>
      </c>
      <c r="C3639" t="str">
        <f>"13.12.2011"</f>
        <v>13.12.2011</v>
      </c>
      <c r="D3639" t="str">
        <f>"605,41"</f>
        <v>605,41</v>
      </c>
      <c r="E3639" t="str">
        <f>"605,41"</f>
        <v>605,41</v>
      </c>
    </row>
    <row r="3642" spans="1:5" x14ac:dyDescent="0.25">
      <c r="A3642" t="str">
        <f>"851"</f>
        <v>851</v>
      </c>
      <c r="B3642" t="str">
        <f>"Gordic  s.r.o. Jihlava"</f>
        <v>Gordic  s.r.o. Jihlava</v>
      </c>
      <c r="C3642" t="str">
        <f>"47903783"</f>
        <v>47903783</v>
      </c>
    </row>
    <row r="3643" spans="1:5" x14ac:dyDescent="0.25">
      <c r="A3643" t="str">
        <f>"09.12.2011"</f>
        <v>09.12.2011</v>
      </c>
      <c r="B3643" t="str">
        <f>"23.12.2011"</f>
        <v>23.12.2011</v>
      </c>
      <c r="C3643" t="str">
        <f>"14.12.2011"</f>
        <v>14.12.2011</v>
      </c>
      <c r="D3643" t="str">
        <f>"2.400,00"</f>
        <v>2.400,00</v>
      </c>
      <c r="E3643" t="str">
        <f>"2.400,00"</f>
        <v>2.400,00</v>
      </c>
    </row>
    <row r="3646" spans="1:5" x14ac:dyDescent="0.25">
      <c r="A3646" t="str">
        <f>"852"</f>
        <v>852</v>
      </c>
      <c r="B3646" t="str">
        <f>"Telefónica 02 CR a.s."</f>
        <v>Telefónica 02 CR a.s.</v>
      </c>
      <c r="C3646" t="str">
        <f>"60193336"</f>
        <v>60193336</v>
      </c>
    </row>
    <row r="3647" spans="1:5" x14ac:dyDescent="0.25">
      <c r="A3647" t="str">
        <f>"09.12.2011"</f>
        <v>09.12.2011</v>
      </c>
      <c r="B3647" t="str">
        <f>"16.12.2011"</f>
        <v>16.12.2011</v>
      </c>
      <c r="C3647" t="str">
        <f>"13.12.2011"</f>
        <v>13.12.2011</v>
      </c>
      <c r="D3647" t="str">
        <f>"3.214,88"</f>
        <v>3.214,88</v>
      </c>
      <c r="E3647" t="str">
        <f>"3.214,88"</f>
        <v>3.214,88</v>
      </c>
    </row>
    <row r="3650" spans="1:5" x14ac:dyDescent="0.25">
      <c r="A3650" t="str">
        <f>"853"</f>
        <v>853</v>
      </c>
      <c r="B3650" t="str">
        <f>"Telefónica 02 CR, a.s."</f>
        <v>Telefónica 02 CR, a.s.</v>
      </c>
      <c r="C3650" t="str">
        <f>"60193336"</f>
        <v>60193336</v>
      </c>
    </row>
    <row r="3651" spans="1:5" x14ac:dyDescent="0.25">
      <c r="A3651" t="str">
        <f>"09.12.2011"</f>
        <v>09.12.2011</v>
      </c>
      <c r="B3651" t="str">
        <f>"16.12.2011"</f>
        <v>16.12.2011</v>
      </c>
      <c r="C3651" t="str">
        <f>"16.12.2011"</f>
        <v>16.12.2011</v>
      </c>
      <c r="D3651" t="str">
        <f>"21.997,18"</f>
        <v>21.997,18</v>
      </c>
      <c r="E3651" t="str">
        <f>"21.997,18"</f>
        <v>21.997,18</v>
      </c>
    </row>
    <row r="3654" spans="1:5" x14ac:dyDescent="0.25">
      <c r="A3654" t="str">
        <f>"854"</f>
        <v>854</v>
      </c>
      <c r="B3654" t="str">
        <f>"Česká pošta ,s.p. Praha 1"</f>
        <v>Česká pošta ,s.p. Praha 1</v>
      </c>
      <c r="C3654" t="str">
        <f>"47114983"</f>
        <v>47114983</v>
      </c>
    </row>
    <row r="3655" spans="1:5" x14ac:dyDescent="0.25">
      <c r="A3655" t="str">
        <f>"09.12.2011"</f>
        <v>09.12.2011</v>
      </c>
      <c r="B3655" t="str">
        <f>"19.12.2011"</f>
        <v>19.12.2011</v>
      </c>
      <c r="C3655" t="str">
        <f>"13.12.2011"</f>
        <v>13.12.2011</v>
      </c>
      <c r="D3655" t="str">
        <f>"45.759,00"</f>
        <v>45.759,00</v>
      </c>
      <c r="E3655" t="str">
        <f>"45.759,00"</f>
        <v>45.759,00</v>
      </c>
    </row>
    <row r="3658" spans="1:5" x14ac:dyDescent="0.25">
      <c r="A3658" t="str">
        <f>"855"</f>
        <v>855</v>
      </c>
      <c r="B3658" t="str">
        <f>"Radoslav Virt Veselí n/L."</f>
        <v>Radoslav Virt Veselí n/L.</v>
      </c>
      <c r="C3658" t="str">
        <f>"15782719"</f>
        <v>15782719</v>
      </c>
    </row>
    <row r="3659" spans="1:5" x14ac:dyDescent="0.25">
      <c r="A3659" t="str">
        <f>"15.12.2011"</f>
        <v>15.12.2011</v>
      </c>
      <c r="B3659" t="str">
        <f>"29.12.2011"</f>
        <v>29.12.2011</v>
      </c>
      <c r="C3659" t="str">
        <f>"15.12.2011"</f>
        <v>15.12.2011</v>
      </c>
      <c r="D3659" t="str">
        <f>"49.975,00"</f>
        <v>49.975,00</v>
      </c>
      <c r="E3659" t="str">
        <f>"49.975,00"</f>
        <v>49.975,00</v>
      </c>
    </row>
    <row r="3661" spans="1:5" x14ac:dyDescent="0.25">
      <c r="A3661" t="str">
        <f>"Poř.č.fak."</f>
        <v>Poř.č.fak.</v>
      </c>
      <c r="B3661" t="str">
        <f>"Dodavatel"</f>
        <v>Dodavatel</v>
      </c>
      <c r="C3661" t="str">
        <f>"IČO"</f>
        <v>IČO</v>
      </c>
    </row>
    <row r="3662" spans="1:5" x14ac:dyDescent="0.25">
      <c r="A3662" t="str">
        <f>"Došla"</f>
        <v>Došla</v>
      </c>
      <c r="B3662" t="str">
        <f>"Splatná"</f>
        <v>Splatná</v>
      </c>
      <c r="C3662" t="str">
        <f>"Zaplacená"</f>
        <v>Zaplacená</v>
      </c>
      <c r="D3662" t="str">
        <f>"Fakt.částka"</f>
        <v>Fakt.částka</v>
      </c>
      <c r="E3662" t="str">
        <f>"Celk.zaplaceno"</f>
        <v>Celk.zaplaceno</v>
      </c>
    </row>
    <row r="3663" spans="1:5" x14ac:dyDescent="0.25">
      <c r="B3663" t="str">
        <f>"Poznámka"</f>
        <v>Poznámka</v>
      </c>
    </row>
    <row r="3664" spans="1:5" x14ac:dyDescent="0.25">
      <c r="A3664" t="str">
        <f>"**********"</f>
        <v>**********</v>
      </c>
      <c r="B3664" t="str">
        <f>"**************************"</f>
        <v>**************************</v>
      </c>
      <c r="C3664" t="str">
        <f>"***********"</f>
        <v>***********</v>
      </c>
      <c r="D3664" t="str">
        <f>"***************"</f>
        <v>***************</v>
      </c>
      <c r="E3664" t="str">
        <f>"***************"</f>
        <v>***************</v>
      </c>
    </row>
    <row r="3666" spans="1:5" x14ac:dyDescent="0.25">
      <c r="A3666" t="str">
        <f>"856"</f>
        <v>856</v>
      </c>
      <c r="B3666" t="str">
        <f>"Mautnerová Suchdol n/L."</f>
        <v>Mautnerová Suchdol n/L.</v>
      </c>
      <c r="C3666" t="str">
        <f>"40724689"</f>
        <v>40724689</v>
      </c>
    </row>
    <row r="3667" spans="1:5" x14ac:dyDescent="0.25">
      <c r="A3667" t="str">
        <f>"12.12.2011"</f>
        <v>12.12.2011</v>
      </c>
      <c r="B3667" t="str">
        <f>"17.12.2011"</f>
        <v>17.12.2011</v>
      </c>
      <c r="C3667" t="str">
        <f>"19.12.2011"</f>
        <v>19.12.2011</v>
      </c>
      <c r="D3667" t="str">
        <f>"1.500,00"</f>
        <v>1.500,00</v>
      </c>
      <c r="E3667" t="str">
        <f>"1.500,00"</f>
        <v>1.500,00</v>
      </c>
    </row>
    <row r="3670" spans="1:5" x14ac:dyDescent="0.25">
      <c r="A3670" t="str">
        <f>"857"</f>
        <v>857</v>
      </c>
      <c r="B3670" t="str">
        <f>"Lesy ČR s.p. Jindř.Hradec"</f>
        <v>Lesy ČR s.p. Jindř.Hradec</v>
      </c>
      <c r="C3670" t="str">
        <f>"42196451"</f>
        <v>42196451</v>
      </c>
    </row>
    <row r="3671" spans="1:5" x14ac:dyDescent="0.25">
      <c r="A3671" t="str">
        <f>"13.12.2011"</f>
        <v>13.12.2011</v>
      </c>
      <c r="B3671" t="str">
        <f>"26.12.2011"</f>
        <v>26.12.2011</v>
      </c>
      <c r="C3671" t="str">
        <f>"20.12.2011"</f>
        <v>20.12.2011</v>
      </c>
      <c r="D3671" t="str">
        <f>"5.700,00"</f>
        <v>5.700,00</v>
      </c>
      <c r="E3671" t="str">
        <f>"5.700,00"</f>
        <v>5.700,00</v>
      </c>
    </row>
    <row r="3674" spans="1:5" x14ac:dyDescent="0.25">
      <c r="A3674" t="str">
        <f>"858"</f>
        <v>858</v>
      </c>
      <c r="B3674" t="str">
        <f>"Sodexo Pass ČR a.s. Praha"</f>
        <v>Sodexo Pass ČR a.s. Praha</v>
      </c>
      <c r="C3674" t="str">
        <f>"61860476"</f>
        <v>61860476</v>
      </c>
    </row>
    <row r="3675" spans="1:5" x14ac:dyDescent="0.25">
      <c r="A3675" t="str">
        <f>"13.12.2011"</f>
        <v>13.12.2011</v>
      </c>
      <c r="B3675" t="str">
        <f>"27.12.2011"</f>
        <v>27.12.2011</v>
      </c>
      <c r="C3675" t="str">
        <f>"19.12.2011"</f>
        <v>19.12.2011</v>
      </c>
      <c r="D3675" t="str">
        <f>"16.284,00"</f>
        <v>16.284,00</v>
      </c>
      <c r="E3675" t="str">
        <f>"16.284,00"</f>
        <v>16.284,00</v>
      </c>
    </row>
    <row r="3678" spans="1:5" x14ac:dyDescent="0.25">
      <c r="A3678" t="str">
        <f>"859"</f>
        <v>859</v>
      </c>
      <c r="B3678" t="str">
        <f>"Intem s.r.o. Praha 3"</f>
        <v>Intem s.r.o. Praha 3</v>
      </c>
      <c r="C3678" t="str">
        <f>"42407133"</f>
        <v>42407133</v>
      </c>
    </row>
    <row r="3679" spans="1:5" x14ac:dyDescent="0.25">
      <c r="A3679" t="str">
        <f>"13.12.2011"</f>
        <v>13.12.2011</v>
      </c>
      <c r="B3679" t="str">
        <f>"10.01.2012"</f>
        <v>10.01.2012</v>
      </c>
      <c r="C3679" t="str">
        <f>"20.12.2011"</f>
        <v>20.12.2011</v>
      </c>
      <c r="D3679" t="str">
        <f>"141.860,40"</f>
        <v>141.860,40</v>
      </c>
      <c r="E3679" t="str">
        <f>"141.860,40"</f>
        <v>141.860,40</v>
      </c>
    </row>
    <row r="3682" spans="1:5" x14ac:dyDescent="0.25">
      <c r="A3682" t="str">
        <f>"860"</f>
        <v>860</v>
      </c>
      <c r="B3682" t="str">
        <f>"KONICA MINOLTA s.r.o."</f>
        <v>KONICA MINOLTA s.r.o.</v>
      </c>
      <c r="C3682" t="str">
        <f>"00176150"</f>
        <v>00176150</v>
      </c>
    </row>
    <row r="3683" spans="1:5" x14ac:dyDescent="0.25">
      <c r="A3683" t="str">
        <f>"14.12.2011"</f>
        <v>14.12.2011</v>
      </c>
      <c r="B3683" t="str">
        <f>"20.12.2011"</f>
        <v>20.12.2011</v>
      </c>
      <c r="C3683" t="str">
        <f>"19.12.2011"</f>
        <v>19.12.2011</v>
      </c>
      <c r="D3683" t="str">
        <f>"3.552,00"</f>
        <v>3.552,00</v>
      </c>
      <c r="E3683" t="str">
        <f>"3.552,00"</f>
        <v>3.552,00</v>
      </c>
    </row>
    <row r="3686" spans="1:5" x14ac:dyDescent="0.25">
      <c r="A3686" t="str">
        <f>"861"</f>
        <v>861</v>
      </c>
      <c r="B3686" t="str">
        <f>"MMS a.s. Praha 2"</f>
        <v>MMS a.s. Praha 2</v>
      </c>
      <c r="C3686" t="str">
        <f>"27604942"</f>
        <v>27604942</v>
      </c>
    </row>
    <row r="3687" spans="1:5" x14ac:dyDescent="0.25">
      <c r="A3687" t="str">
        <f>"14.12.2011"</f>
        <v>14.12.2011</v>
      </c>
      <c r="B3687" t="str">
        <f>"26.12.2011"</f>
        <v>26.12.2011</v>
      </c>
      <c r="C3687" t="str">
        <f>"19.12.2011"</f>
        <v>19.12.2011</v>
      </c>
      <c r="D3687" t="str">
        <f>"20.000,00"</f>
        <v>20.000,00</v>
      </c>
      <c r="E3687" t="str">
        <f>"20.000,00"</f>
        <v>20.000,00</v>
      </c>
    </row>
    <row r="3690" spans="1:5" x14ac:dyDescent="0.25">
      <c r="A3690" t="str">
        <f>"862"</f>
        <v>862</v>
      </c>
      <c r="B3690" t="str">
        <f>"Jiří Polák Tábor"</f>
        <v>Jiří Polák Tábor</v>
      </c>
      <c r="C3690" t="str">
        <f>"74560425"</f>
        <v>74560425</v>
      </c>
    </row>
    <row r="3691" spans="1:5" x14ac:dyDescent="0.25">
      <c r="A3691" t="str">
        <f>"15.12.2011"</f>
        <v>15.12.2011</v>
      </c>
      <c r="B3691" t="str">
        <f>"21.12.2011"</f>
        <v>21.12.2011</v>
      </c>
      <c r="C3691" t="str">
        <f>"19.12.2011"</f>
        <v>19.12.2011</v>
      </c>
      <c r="D3691" t="str">
        <f>"7.900,00"</f>
        <v>7.900,00</v>
      </c>
      <c r="E3691" t="str">
        <f>"7.900,00"</f>
        <v>7.900,00</v>
      </c>
    </row>
    <row r="3694" spans="1:5" x14ac:dyDescent="0.25">
      <c r="A3694" t="str">
        <f>"863"</f>
        <v>863</v>
      </c>
      <c r="B3694" t="str">
        <f>"SAPSERVIS s.r.o. Soběslav"</f>
        <v>SAPSERVIS s.r.o. Soběslav</v>
      </c>
      <c r="C3694" t="str">
        <f>"26022761"</f>
        <v>26022761</v>
      </c>
    </row>
    <row r="3695" spans="1:5" x14ac:dyDescent="0.25">
      <c r="A3695" t="str">
        <f>"15.12.2011"</f>
        <v>15.12.2011</v>
      </c>
      <c r="B3695" t="str">
        <f>"26.12.2011"</f>
        <v>26.12.2011</v>
      </c>
      <c r="C3695" t="str">
        <f>"19.12.2011"</f>
        <v>19.12.2011</v>
      </c>
      <c r="D3695" t="str">
        <f>"4.164,00"</f>
        <v>4.164,00</v>
      </c>
      <c r="E3695" t="str">
        <f>"4.164,00"</f>
        <v>4.164,00</v>
      </c>
    </row>
    <row r="3698" spans="1:5" x14ac:dyDescent="0.25">
      <c r="A3698" t="str">
        <f>"864"</f>
        <v>864</v>
      </c>
      <c r="B3698" t="str">
        <f>"GEFOS a.s. Praha 8"</f>
        <v>GEFOS a.s. Praha 8</v>
      </c>
      <c r="C3698" t="str">
        <f>"25684213"</f>
        <v>25684213</v>
      </c>
    </row>
    <row r="3699" spans="1:5" x14ac:dyDescent="0.25">
      <c r="A3699" t="str">
        <f>"15.12.2011"</f>
        <v>15.12.2011</v>
      </c>
      <c r="B3699" t="str">
        <f>"28.12.2011"</f>
        <v>28.12.2011</v>
      </c>
      <c r="C3699" t="str">
        <f>"20.12.2011"</f>
        <v>20.12.2011</v>
      </c>
      <c r="D3699" t="str">
        <f>"10.440,00"</f>
        <v>10.440,00</v>
      </c>
      <c r="E3699" t="str">
        <f>"10.440,00"</f>
        <v>10.440,00</v>
      </c>
    </row>
    <row r="3702" spans="1:5" x14ac:dyDescent="0.25">
      <c r="A3702" t="str">
        <f>"865"</f>
        <v>865</v>
      </c>
      <c r="B3702" t="str">
        <f>"Město Sezimovo Ústí"</f>
        <v>Město Sezimovo Ústí</v>
      </c>
      <c r="C3702" t="str">
        <f>"00252859"</f>
        <v>00252859</v>
      </c>
    </row>
    <row r="3703" spans="1:5" x14ac:dyDescent="0.25">
      <c r="A3703" t="str">
        <f>"15.12.2011"</f>
        <v>15.12.2011</v>
      </c>
      <c r="B3703" t="str">
        <f>"29.12.2011"</f>
        <v>29.12.2011</v>
      </c>
      <c r="C3703" t="str">
        <f>"19.12.2011"</f>
        <v>19.12.2011</v>
      </c>
      <c r="D3703" t="str">
        <f>"4.345,00"</f>
        <v>4.345,00</v>
      </c>
      <c r="E3703" t="str">
        <f>"4.345,00"</f>
        <v>4.345,00</v>
      </c>
    </row>
    <row r="3706" spans="1:5" x14ac:dyDescent="0.25">
      <c r="A3706" t="str">
        <f>"866"</f>
        <v>866</v>
      </c>
      <c r="B3706" t="str">
        <f>"Peter Kučera Brno"</f>
        <v>Peter Kučera Brno</v>
      </c>
      <c r="C3706" t="str">
        <f>"66515009"</f>
        <v>66515009</v>
      </c>
    </row>
    <row r="3707" spans="1:5" x14ac:dyDescent="0.25">
      <c r="A3707" t="str">
        <f>"16.12.2011"</f>
        <v>16.12.2011</v>
      </c>
      <c r="B3707" t="str">
        <f>"15.01.2012"</f>
        <v>15.01.2012</v>
      </c>
      <c r="C3707" t="str">
        <f>"20.12.2011"</f>
        <v>20.12.2011</v>
      </c>
      <c r="D3707" t="str">
        <f>"1.200,00"</f>
        <v>1.200,00</v>
      </c>
      <c r="E3707" t="str">
        <f>"1.200,00"</f>
        <v>1.200,00</v>
      </c>
    </row>
    <row r="3710" spans="1:5" x14ac:dyDescent="0.25">
      <c r="A3710" t="str">
        <f>"867"</f>
        <v>867</v>
      </c>
      <c r="B3710" t="str">
        <f>"Reklamní ateliér s.r.o."</f>
        <v>Reklamní ateliér s.r.o.</v>
      </c>
      <c r="C3710" t="str">
        <f>"46683160"</f>
        <v>46683160</v>
      </c>
    </row>
    <row r="3711" spans="1:5" x14ac:dyDescent="0.25">
      <c r="A3711" t="str">
        <f>"19.12.2011"</f>
        <v>19.12.2011</v>
      </c>
      <c r="B3711" t="str">
        <f>"22.12.2011"</f>
        <v>22.12.2011</v>
      </c>
      <c r="C3711" t="str">
        <f>"20.12.2011"</f>
        <v>20.12.2011</v>
      </c>
      <c r="D3711" t="str">
        <f>"1.435,00"</f>
        <v>1.435,00</v>
      </c>
      <c r="E3711" t="str">
        <f>"1.435,00"</f>
        <v>1.435,00</v>
      </c>
    </row>
    <row r="3714" spans="1:5" x14ac:dyDescent="0.25">
      <c r="A3714" t="str">
        <f>"868"</f>
        <v>868</v>
      </c>
      <c r="B3714" t="str">
        <f>"Petr Molek Soběslav"</f>
        <v>Petr Molek Soběslav</v>
      </c>
      <c r="C3714" t="str">
        <f>"11343362"</f>
        <v>11343362</v>
      </c>
    </row>
    <row r="3715" spans="1:5" x14ac:dyDescent="0.25">
      <c r="A3715" t="str">
        <f>"19.12.2011"</f>
        <v>19.12.2011</v>
      </c>
      <c r="B3715" t="str">
        <f>"02.01.2012"</f>
        <v>02.01.2012</v>
      </c>
      <c r="C3715" t="str">
        <f>"20.12.2011"</f>
        <v>20.12.2011</v>
      </c>
      <c r="D3715" t="str">
        <f>"1.620,00"</f>
        <v>1.620,00</v>
      </c>
      <c r="E3715" t="str">
        <f>"1.620,00"</f>
        <v>1.620,00</v>
      </c>
    </row>
    <row r="3718" spans="1:5" x14ac:dyDescent="0.25">
      <c r="A3718" t="str">
        <f>"869"</f>
        <v>869</v>
      </c>
      <c r="B3718" t="str">
        <f>"Reklamní ateliér s.r.o."</f>
        <v>Reklamní ateliér s.r.o.</v>
      </c>
      <c r="C3718" t="str">
        <f>"46683160"</f>
        <v>46683160</v>
      </c>
    </row>
    <row r="3719" spans="1:5" x14ac:dyDescent="0.25">
      <c r="A3719" t="str">
        <f>"19.12.2011"</f>
        <v>19.12.2011</v>
      </c>
      <c r="B3719" t="str">
        <f>"29.12.2011"</f>
        <v>29.12.2011</v>
      </c>
      <c r="C3719" t="str">
        <f>"20.12.2011"</f>
        <v>20.12.2011</v>
      </c>
      <c r="D3719" t="str">
        <f>"1.680,00"</f>
        <v>1.680,00</v>
      </c>
      <c r="E3719" t="str">
        <f>"1.680,00"</f>
        <v>1.680,00</v>
      </c>
    </row>
    <row r="3721" spans="1:5" x14ac:dyDescent="0.25">
      <c r="A3721" t="str">
        <f>"Poř.č.fak."</f>
        <v>Poř.č.fak.</v>
      </c>
      <c r="B3721" t="str">
        <f>"Dodavatel"</f>
        <v>Dodavatel</v>
      </c>
      <c r="C3721" t="str">
        <f>"IČO"</f>
        <v>IČO</v>
      </c>
    </row>
    <row r="3722" spans="1:5" x14ac:dyDescent="0.25">
      <c r="A3722" t="str">
        <f>"Došla"</f>
        <v>Došla</v>
      </c>
      <c r="B3722" t="str">
        <f>"Splatná"</f>
        <v>Splatná</v>
      </c>
      <c r="C3722" t="str">
        <f>"Zaplacená"</f>
        <v>Zaplacená</v>
      </c>
      <c r="D3722" t="str">
        <f>"Fakt.částka"</f>
        <v>Fakt.částka</v>
      </c>
      <c r="E3722" t="str">
        <f>"Celk.zaplaceno"</f>
        <v>Celk.zaplaceno</v>
      </c>
    </row>
    <row r="3723" spans="1:5" x14ac:dyDescent="0.25">
      <c r="B3723" t="str">
        <f>"Poznámka"</f>
        <v>Poznámka</v>
      </c>
    </row>
    <row r="3724" spans="1:5" x14ac:dyDescent="0.25">
      <c r="A3724" t="str">
        <f>"**********"</f>
        <v>**********</v>
      </c>
      <c r="B3724" t="str">
        <f>"**************************"</f>
        <v>**************************</v>
      </c>
      <c r="C3724" t="str">
        <f>"***********"</f>
        <v>***********</v>
      </c>
      <c r="D3724" t="str">
        <f>"***************"</f>
        <v>***************</v>
      </c>
      <c r="E3724" t="str">
        <f>"***************"</f>
        <v>***************</v>
      </c>
    </row>
    <row r="3726" spans="1:5" x14ac:dyDescent="0.25">
      <c r="A3726" t="str">
        <f>"870"</f>
        <v>870</v>
      </c>
      <c r="B3726" t="str">
        <f>"AB TÁBOR s.r.o."</f>
        <v>AB TÁBOR s.r.o.</v>
      </c>
      <c r="C3726" t="str">
        <f>"26025523"</f>
        <v>26025523</v>
      </c>
    </row>
    <row r="3727" spans="1:5" x14ac:dyDescent="0.25">
      <c r="A3727" t="str">
        <f>"19.12.2011"</f>
        <v>19.12.2011</v>
      </c>
      <c r="B3727" t="str">
        <f>"22.12.2011"</f>
        <v>22.12.2011</v>
      </c>
      <c r="C3727" t="str">
        <f>"20.12.2011"</f>
        <v>20.12.2011</v>
      </c>
      <c r="D3727" t="str">
        <f>"2.958,00"</f>
        <v>2.958,00</v>
      </c>
      <c r="E3727" t="str">
        <f>"2.958,00"</f>
        <v>2.958,00</v>
      </c>
    </row>
    <row r="3730" spans="1:5" x14ac:dyDescent="0.25">
      <c r="A3730" t="str">
        <f>"871"</f>
        <v>871</v>
      </c>
      <c r="B3730" t="str">
        <f>"JUDr. Vodičková POLIS"</f>
        <v>JUDr. Vodičková POLIS</v>
      </c>
      <c r="C3730" t="str">
        <f>"86593315"</f>
        <v>86593315</v>
      </c>
    </row>
    <row r="3731" spans="1:5" x14ac:dyDescent="0.25">
      <c r="A3731" t="str">
        <f>"19.12.2011"</f>
        <v>19.12.2011</v>
      </c>
      <c r="B3731" t="str">
        <f>"29.12.2011"</f>
        <v>29.12.2011</v>
      </c>
      <c r="C3731" t="str">
        <f>"20.12.2011"</f>
        <v>20.12.2011</v>
      </c>
      <c r="D3731" t="str">
        <f>"9.840,00"</f>
        <v>9.840,00</v>
      </c>
      <c r="E3731" t="str">
        <f>"9.840,00"</f>
        <v>9.840,00</v>
      </c>
    </row>
    <row r="3734" spans="1:5" x14ac:dyDescent="0.25">
      <c r="A3734" t="str">
        <f>"872"</f>
        <v>872</v>
      </c>
      <c r="B3734" t="str">
        <f>"Hořický Tomáš Soběslav"</f>
        <v>Hořický Tomáš Soběslav</v>
      </c>
      <c r="C3734" t="str">
        <f>"45015465"</f>
        <v>45015465</v>
      </c>
    </row>
    <row r="3735" spans="1:5" x14ac:dyDescent="0.25">
      <c r="A3735" t="str">
        <f>"19.12.2011"</f>
        <v>19.12.2011</v>
      </c>
      <c r="B3735" t="str">
        <f>"31.12.2011"</f>
        <v>31.12.2011</v>
      </c>
      <c r="C3735" t="str">
        <f>"20.12.2011"</f>
        <v>20.12.2011</v>
      </c>
      <c r="D3735" t="str">
        <f>"27.224,00"</f>
        <v>27.224,00</v>
      </c>
      <c r="E3735" t="str">
        <f>"27.224,00"</f>
        <v>27.224,00</v>
      </c>
    </row>
    <row r="3738" spans="1:5" x14ac:dyDescent="0.25">
      <c r="A3738" t="str">
        <f>"873"</f>
        <v>873</v>
      </c>
      <c r="B3738" t="str">
        <f>"UNIOM s.r.o. Soběslav"</f>
        <v>UNIOM s.r.o. Soběslav</v>
      </c>
      <c r="C3738" t="str">
        <f>"16847211"</f>
        <v>16847211</v>
      </c>
    </row>
    <row r="3739" spans="1:5" x14ac:dyDescent="0.25">
      <c r="A3739" t="str">
        <f>"19.12.2011"</f>
        <v>19.12.2011</v>
      </c>
      <c r="B3739" t="str">
        <f>"25.12.2011"</f>
        <v>25.12.2011</v>
      </c>
      <c r="C3739" t="str">
        <f>"20.12.2011"</f>
        <v>20.12.2011</v>
      </c>
      <c r="D3739" t="str">
        <f>"28.975,00"</f>
        <v>28.975,00</v>
      </c>
      <c r="E3739" t="str">
        <f>"28.975,00"</f>
        <v>28.975,00</v>
      </c>
    </row>
    <row r="3742" spans="1:5" x14ac:dyDescent="0.25">
      <c r="A3742" t="str">
        <f>"874"</f>
        <v>874</v>
      </c>
      <c r="B3742" t="str">
        <f>"Zotepo s.r.o."</f>
        <v>Zotepo s.r.o.</v>
      </c>
      <c r="C3742" t="str">
        <f>"26020025"</f>
        <v>26020025</v>
      </c>
    </row>
    <row r="3743" spans="1:5" x14ac:dyDescent="0.25">
      <c r="A3743" t="str">
        <f>"20.12.2011"</f>
        <v>20.12.2011</v>
      </c>
      <c r="B3743" t="str">
        <f>"29.12.2011"</f>
        <v>29.12.2011</v>
      </c>
      <c r="C3743" t="str">
        <f>"20.12.2011"</f>
        <v>20.12.2011</v>
      </c>
      <c r="D3743" t="str">
        <f>"8.128,00"</f>
        <v>8.128,00</v>
      </c>
      <c r="E3743" t="str">
        <f>"8.128,00"</f>
        <v>8.128,00</v>
      </c>
    </row>
    <row r="3746" spans="1:5" x14ac:dyDescent="0.25">
      <c r="A3746" t="str">
        <f>"875"</f>
        <v>875</v>
      </c>
      <c r="B3746" t="str">
        <f>"Správa města Soběslavi"</f>
        <v>Správa města Soběslavi</v>
      </c>
      <c r="C3746" t="str">
        <f>"26029987"</f>
        <v>26029987</v>
      </c>
    </row>
    <row r="3747" spans="1:5" x14ac:dyDescent="0.25">
      <c r="A3747" t="str">
        <f>"21.12.2011"</f>
        <v>21.12.2011</v>
      </c>
      <c r="B3747" t="str">
        <f>"04.01.2012"</f>
        <v>04.01.2012</v>
      </c>
      <c r="C3747" t="str">
        <f>"22.12.2011"</f>
        <v>22.12.2011</v>
      </c>
      <c r="D3747" t="str">
        <f>"5.376,00"</f>
        <v>5.376,00</v>
      </c>
      <c r="E3747" t="str">
        <f>"5.376,00"</f>
        <v>5.376,00</v>
      </c>
    </row>
    <row r="3750" spans="1:5" x14ac:dyDescent="0.25">
      <c r="A3750" t="str">
        <f>"876"</f>
        <v>876</v>
      </c>
      <c r="B3750" t="str">
        <f>"Správa města Soběslavi"</f>
        <v>Správa města Soběslavi</v>
      </c>
      <c r="C3750" t="str">
        <f>"26029987"</f>
        <v>26029987</v>
      </c>
    </row>
    <row r="3751" spans="1:5" x14ac:dyDescent="0.25">
      <c r="A3751" t="str">
        <f>"21.12.2011"</f>
        <v>21.12.2011</v>
      </c>
      <c r="B3751" t="str">
        <f>"04.01.2012"</f>
        <v>04.01.2012</v>
      </c>
      <c r="C3751" t="str">
        <f>"22.12.2011"</f>
        <v>22.12.2011</v>
      </c>
      <c r="D3751" t="str">
        <f>"29.407,00"</f>
        <v>29.407,00</v>
      </c>
      <c r="E3751" t="str">
        <f>"29.407,00"</f>
        <v>29.407,00</v>
      </c>
    </row>
    <row r="3754" spans="1:5" x14ac:dyDescent="0.25">
      <c r="A3754" t="str">
        <f>"877"</f>
        <v>877</v>
      </c>
      <c r="B3754" t="str">
        <f>"TEPO-LD s.r.o. Soběslav"</f>
        <v>TEPO-LD s.r.o. Soběslav</v>
      </c>
      <c r="C3754" t="str">
        <f>"26113848"</f>
        <v>26113848</v>
      </c>
    </row>
    <row r="3755" spans="1:5" x14ac:dyDescent="0.25">
      <c r="A3755" t="str">
        <f>"21.12.2011"</f>
        <v>21.12.2011</v>
      </c>
      <c r="B3755" t="str">
        <f>"23.12.2011"</f>
        <v>23.12.2011</v>
      </c>
      <c r="C3755" t="str">
        <f>"22.12.2011"</f>
        <v>22.12.2011</v>
      </c>
      <c r="D3755" t="str">
        <f>"21.547,00"</f>
        <v>21.547,00</v>
      </c>
      <c r="E3755" t="str">
        <f>"21.547,00"</f>
        <v>21.547,00</v>
      </c>
    </row>
    <row r="3758" spans="1:5" x14ac:dyDescent="0.25">
      <c r="A3758" t="str">
        <f>"878"</f>
        <v>878</v>
      </c>
      <c r="B3758" t="str">
        <f>"Software602 a.s. Praha"</f>
        <v>Software602 a.s. Praha</v>
      </c>
      <c r="C3758" t="str">
        <f>"63078236"</f>
        <v>63078236</v>
      </c>
    </row>
    <row r="3759" spans="1:5" x14ac:dyDescent="0.25">
      <c r="A3759" t="str">
        <f>"21.12.2011"</f>
        <v>21.12.2011</v>
      </c>
      <c r="B3759" t="str">
        <f>"04.01.2012"</f>
        <v>04.01.2012</v>
      </c>
      <c r="C3759" t="str">
        <f>"22.12.2011"</f>
        <v>22.12.2011</v>
      </c>
      <c r="D3759" t="str">
        <f>"30.000,00"</f>
        <v>30.000,00</v>
      </c>
      <c r="E3759" t="str">
        <f>"30.000,00"</f>
        <v>30.000,00</v>
      </c>
    </row>
    <row r="3762" spans="1:5" x14ac:dyDescent="0.25">
      <c r="A3762" t="str">
        <f>"879"</f>
        <v>879</v>
      </c>
      <c r="B3762" t="str">
        <f>"Spilka a Říha s.r.o. Sobě"</f>
        <v>Spilka a Říha s.r.o. Sobě</v>
      </c>
      <c r="C3762" t="str">
        <f>"45021309"</f>
        <v>45021309</v>
      </c>
    </row>
    <row r="3763" spans="1:5" x14ac:dyDescent="0.25">
      <c r="A3763" t="str">
        <f>"21.12.2011"</f>
        <v>21.12.2011</v>
      </c>
      <c r="B3763" t="str">
        <f>"20.02.2012"</f>
        <v>20.02.2012</v>
      </c>
      <c r="C3763" t="str">
        <f>"22.12.2011"</f>
        <v>22.12.2011</v>
      </c>
      <c r="D3763" t="str">
        <f>"1.220.411,00"</f>
        <v>1.220.411,00</v>
      </c>
      <c r="E3763" t="str">
        <f>"1.220.411,00"</f>
        <v>1.220.411,00</v>
      </c>
    </row>
    <row r="3766" spans="1:5" x14ac:dyDescent="0.25">
      <c r="A3766" t="str">
        <f>"880"</f>
        <v>880</v>
      </c>
      <c r="B3766" t="str">
        <f>"JVPO s.r.o. Č. Bud."</f>
        <v>JVPO s.r.o. Č. Bud.</v>
      </c>
      <c r="C3766" t="str">
        <f>"26106175"</f>
        <v>26106175</v>
      </c>
    </row>
    <row r="3767" spans="1:5" x14ac:dyDescent="0.25">
      <c r="A3767" t="str">
        <f>"22.12.2011"</f>
        <v>22.12.2011</v>
      </c>
      <c r="B3767" t="str">
        <f>"29.12.2011"</f>
        <v>29.12.2011</v>
      </c>
      <c r="C3767" t="str">
        <f>"23.12.2011"</f>
        <v>23.12.2011</v>
      </c>
      <c r="D3767" t="str">
        <f>"27.532,00"</f>
        <v>27.532,00</v>
      </c>
      <c r="E3767" t="str">
        <f>"27.532,00"</f>
        <v>27.532,00</v>
      </c>
    </row>
    <row r="3770" spans="1:5" x14ac:dyDescent="0.25">
      <c r="A3770" t="str">
        <f>"881"</f>
        <v>881</v>
      </c>
      <c r="B3770" t="str">
        <f>"ACTIVA s.r.o. Praha 9"</f>
        <v>ACTIVA s.r.o. Praha 9</v>
      </c>
      <c r="C3770" t="str">
        <f>"48111198"</f>
        <v>48111198</v>
      </c>
    </row>
    <row r="3771" spans="1:5" x14ac:dyDescent="0.25">
      <c r="A3771" t="str">
        <f>"23.12.2011"</f>
        <v>23.12.2011</v>
      </c>
      <c r="B3771" t="str">
        <f>"05.01.2012"</f>
        <v>05.01.2012</v>
      </c>
      <c r="C3771" t="str">
        <f>"23.12.2011"</f>
        <v>23.12.2011</v>
      </c>
      <c r="D3771" t="str">
        <f>"10.556,00"</f>
        <v>10.556,00</v>
      </c>
      <c r="E3771" t="str">
        <f>"10.556,00"</f>
        <v>10.556,00</v>
      </c>
    </row>
    <row r="3774" spans="1:5" x14ac:dyDescent="0.25">
      <c r="A3774" t="str">
        <f>"882"</f>
        <v>882</v>
      </c>
      <c r="B3774" t="str">
        <f>"MARABU,spol.s r.o."</f>
        <v>MARABU,spol.s r.o.</v>
      </c>
      <c r="C3774" t="str">
        <f>"48245208"</f>
        <v>48245208</v>
      </c>
    </row>
    <row r="3775" spans="1:5" x14ac:dyDescent="0.25">
      <c r="A3775" t="str">
        <f>"23.12.2011"</f>
        <v>23.12.2011</v>
      </c>
      <c r="B3775" t="str">
        <f>"05.01.2012"</f>
        <v>05.01.2012</v>
      </c>
      <c r="C3775" t="str">
        <f>"23.12.2011"</f>
        <v>23.12.2011</v>
      </c>
      <c r="D3775" t="str">
        <f>"1.634,40"</f>
        <v>1.634,40</v>
      </c>
      <c r="E3775" t="str">
        <f>"1.634,40"</f>
        <v>1.634,40</v>
      </c>
    </row>
    <row r="3778" spans="1:5" x14ac:dyDescent="0.25">
      <c r="A3778" t="str">
        <f>"883"</f>
        <v>883</v>
      </c>
      <c r="B3778" t="str">
        <f>"MEVA-CB,s.r.o. České Bud."</f>
        <v>MEVA-CB,s.r.o. České Bud.</v>
      </c>
      <c r="C3778" t="str">
        <f>"65006020"</f>
        <v>65006020</v>
      </c>
    </row>
    <row r="3779" spans="1:5" x14ac:dyDescent="0.25">
      <c r="A3779" t="str">
        <f>"27.12.2011"</f>
        <v>27.12.2011</v>
      </c>
      <c r="B3779" t="str">
        <f>"06.01.2012"</f>
        <v>06.01.2012</v>
      </c>
      <c r="C3779" t="str">
        <f>"29.12.2011"</f>
        <v>29.12.2011</v>
      </c>
      <c r="D3779" t="str">
        <f>"23.999,00"</f>
        <v>23.999,00</v>
      </c>
      <c r="E3779" t="str">
        <f>"23.999,00"</f>
        <v>23.999,00</v>
      </c>
    </row>
    <row r="3781" spans="1:5" x14ac:dyDescent="0.25">
      <c r="A3781" t="str">
        <f>"Poř.č.fak."</f>
        <v>Poř.č.fak.</v>
      </c>
      <c r="B3781" t="str">
        <f>"Dodavatel"</f>
        <v>Dodavatel</v>
      </c>
      <c r="C3781" t="str">
        <f>"IČO"</f>
        <v>IČO</v>
      </c>
    </row>
    <row r="3782" spans="1:5" x14ac:dyDescent="0.25">
      <c r="A3782" t="str">
        <f>"Došla"</f>
        <v>Došla</v>
      </c>
      <c r="B3782" t="str">
        <f>"Splatná"</f>
        <v>Splatná</v>
      </c>
      <c r="C3782" t="str">
        <f>"Zaplacená"</f>
        <v>Zaplacená</v>
      </c>
      <c r="D3782" t="str">
        <f>"Fakt.částka"</f>
        <v>Fakt.částka</v>
      </c>
      <c r="E3782" t="str">
        <f>"Celk.zaplaceno"</f>
        <v>Celk.zaplaceno</v>
      </c>
    </row>
    <row r="3783" spans="1:5" x14ac:dyDescent="0.25">
      <c r="B3783" t="str">
        <f>"Poznámka"</f>
        <v>Poznámka</v>
      </c>
    </row>
    <row r="3784" spans="1:5" x14ac:dyDescent="0.25">
      <c r="A3784" t="str">
        <f>"**********"</f>
        <v>**********</v>
      </c>
      <c r="B3784" t="str">
        <f>"**************************"</f>
        <v>**************************</v>
      </c>
      <c r="C3784" t="str">
        <f>"***********"</f>
        <v>***********</v>
      </c>
      <c r="D3784" t="str">
        <f>"***************"</f>
        <v>***************</v>
      </c>
      <c r="E3784" t="str">
        <f>"***************"</f>
        <v>***************</v>
      </c>
    </row>
    <row r="3786" spans="1:5" x14ac:dyDescent="0.25">
      <c r="A3786" t="str">
        <f>"884"</f>
        <v>884</v>
      </c>
      <c r="B3786" t="str">
        <f>"KONICA MINOLTA s.r.o."</f>
        <v>KONICA MINOLTA s.r.o.</v>
      </c>
      <c r="C3786" t="str">
        <f>"00176150"</f>
        <v>00176150</v>
      </c>
    </row>
    <row r="3787" spans="1:5" x14ac:dyDescent="0.25">
      <c r="A3787" t="str">
        <f>"28.12.2011"</f>
        <v>28.12.2011</v>
      </c>
      <c r="B3787" t="str">
        <f>"03.01.2012"</f>
        <v>03.01.2012</v>
      </c>
      <c r="C3787" t="str">
        <f>"29.12.2011"</f>
        <v>29.12.2011</v>
      </c>
      <c r="D3787" t="str">
        <f>"3.870,80"</f>
        <v>3.870,80</v>
      </c>
      <c r="E3787" t="str">
        <f>"3.870,80"</f>
        <v>3.870,80</v>
      </c>
    </row>
    <row r="3790" spans="1:5" x14ac:dyDescent="0.25">
      <c r="A3790" t="str">
        <f>"885"</f>
        <v>885</v>
      </c>
      <c r="B3790" t="str">
        <f>"KONICA MINOLTA s.r.o."</f>
        <v>KONICA MINOLTA s.r.o.</v>
      </c>
      <c r="C3790" t="str">
        <f>"00176150"</f>
        <v>00176150</v>
      </c>
    </row>
    <row r="3791" spans="1:5" x14ac:dyDescent="0.25">
      <c r="A3791" t="str">
        <f>"28.12.2011"</f>
        <v>28.12.2011</v>
      </c>
      <c r="B3791" t="str">
        <f>"03.01.2012"</f>
        <v>03.01.2012</v>
      </c>
      <c r="C3791" t="str">
        <f>"29.12.2011"</f>
        <v>29.12.2011</v>
      </c>
      <c r="D3791" t="str">
        <f>"6.833,80"</f>
        <v>6.833,80</v>
      </c>
      <c r="E3791" t="str">
        <f>"6.833,80"</f>
        <v>6.833,80</v>
      </c>
    </row>
    <row r="3794" spans="1:5" x14ac:dyDescent="0.25">
      <c r="A3794" t="str">
        <f>"886"</f>
        <v>886</v>
      </c>
      <c r="B3794" t="str">
        <f>"Roman Smrž Tábor"</f>
        <v>Roman Smrž Tábor</v>
      </c>
      <c r="C3794" t="str">
        <f>"71919023"</f>
        <v>71919023</v>
      </c>
    </row>
    <row r="3795" spans="1:5" x14ac:dyDescent="0.25">
      <c r="A3795" t="str">
        <f>"28.12.2011"</f>
        <v>28.12.2011</v>
      </c>
      <c r="B3795" t="str">
        <f>"10.01.2012"</f>
        <v>10.01.2012</v>
      </c>
      <c r="C3795" t="str">
        <f>"29.12.2011"</f>
        <v>29.12.2011</v>
      </c>
      <c r="D3795" t="str">
        <f>"5.683,00"</f>
        <v>5.683,00</v>
      </c>
      <c r="E3795" t="str">
        <f>"5.683,00"</f>
        <v>5.683,00</v>
      </c>
    </row>
    <row r="3798" spans="1:5" x14ac:dyDescent="0.25">
      <c r="A3798" t="str">
        <f>"887"</f>
        <v>887</v>
      </c>
      <c r="B3798" t="str">
        <f>"GIGACOMPUTER Č.B."</f>
        <v>GIGACOMPUTER Č.B.</v>
      </c>
      <c r="C3798" t="str">
        <f>"28080289"</f>
        <v>28080289</v>
      </c>
    </row>
    <row r="3799" spans="1:5" x14ac:dyDescent="0.25">
      <c r="A3799" t="str">
        <f>"28.12.2011"</f>
        <v>28.12.2011</v>
      </c>
      <c r="B3799" t="str">
        <f>"11.01.2012"</f>
        <v>11.01.2012</v>
      </c>
      <c r="C3799" t="str">
        <f>"29.12.2011"</f>
        <v>29.12.2011</v>
      </c>
      <c r="D3799" t="str">
        <f>"78.775,00"</f>
        <v>78.775,00</v>
      </c>
      <c r="E3799" t="str">
        <f>"78.775,00"</f>
        <v>78.775,00</v>
      </c>
    </row>
    <row r="3802" spans="1:5" x14ac:dyDescent="0.25">
      <c r="A3802" t="str">
        <f>"888"</f>
        <v>888</v>
      </c>
      <c r="B3802" t="str">
        <f>"Mareš Zbyněk Tábor"</f>
        <v>Mareš Zbyněk Tábor</v>
      </c>
      <c r="C3802" t="str">
        <f>"69541850"</f>
        <v>69541850</v>
      </c>
    </row>
    <row r="3803" spans="1:5" x14ac:dyDescent="0.25">
      <c r="A3803" t="str">
        <f>"29.12.2011"</f>
        <v>29.12.2011</v>
      </c>
      <c r="B3803" t="str">
        <f>"31.12.2011"</f>
        <v>31.12.2011</v>
      </c>
      <c r="C3803" t="str">
        <f>"29.12.2011"</f>
        <v>29.12.2011</v>
      </c>
      <c r="D3803" t="str">
        <f>"10.977,00"</f>
        <v>10.977,00</v>
      </c>
      <c r="E3803" t="str">
        <f>"10.977,00"</f>
        <v>10.977,00</v>
      </c>
    </row>
    <row r="3806" spans="1:5" x14ac:dyDescent="0.25">
      <c r="A3806" t="str">
        <f>"889"</f>
        <v>889</v>
      </c>
      <c r="B3806" t="str">
        <f>"Jaroslava Havlová Soběsla"</f>
        <v>Jaroslava Havlová Soběsla</v>
      </c>
      <c r="C3806" t="str">
        <f>"45015520"</f>
        <v>45015520</v>
      </c>
    </row>
    <row r="3807" spans="1:5" x14ac:dyDescent="0.25">
      <c r="A3807" t="str">
        <f>"29.12.2011"</f>
        <v>29.12.2011</v>
      </c>
      <c r="B3807" t="str">
        <f>"12.01.2012"</f>
        <v>12.01.2012</v>
      </c>
      <c r="C3807" t="str">
        <f>"11.01.2012"</f>
        <v>11.01.2012</v>
      </c>
      <c r="D3807" t="str">
        <f>"1.136,50"</f>
        <v>1.136,50</v>
      </c>
      <c r="E3807" t="str">
        <f>"1.136,50"</f>
        <v>1.136,50</v>
      </c>
    </row>
    <row r="3809" spans="1:5" x14ac:dyDescent="0.25">
      <c r="A3809" t="str">
        <f>"Celkem p"</f>
        <v>Celkem p</v>
      </c>
      <c r="B3809" t="str">
        <f>"et faktur :    888"</f>
        <v>et faktur :    888</v>
      </c>
    </row>
    <row r="3810" spans="1:5" x14ac:dyDescent="0.25">
      <c r="A3810" t="str">
        <f>"Celkem f"</f>
        <v>Celkem f</v>
      </c>
      <c r="B3810" t="str">
        <f>"turovaných částek :"</f>
        <v>turovaných částek :</v>
      </c>
      <c r="D3810" t="str">
        <f>"9"</f>
        <v>9</v>
      </c>
      <c r="E3810" t="str">
        <f>".892.123,85"</f>
        <v>.892.123,85</v>
      </c>
    </row>
    <row r="3811" spans="1:5" x14ac:dyDescent="0.25">
      <c r="A3811" t="str">
        <f>"Celkem z"</f>
        <v>Celkem z</v>
      </c>
      <c r="B3811" t="str">
        <f>"lacených částek   :"</f>
        <v>lacených částek   :</v>
      </c>
      <c r="D3811" t="str">
        <f>"9"</f>
        <v>9</v>
      </c>
      <c r="E3811" t="str">
        <f>".892.123,85"</f>
        <v>.892.123,85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GOREDCC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Schejbalová</dc:creator>
  <cp:lastModifiedBy>Zuzana Schejbalová</cp:lastModifiedBy>
  <dcterms:created xsi:type="dcterms:W3CDTF">2016-05-18T09:26:57Z</dcterms:created>
  <dcterms:modified xsi:type="dcterms:W3CDTF">2016-05-18T09:27:14Z</dcterms:modified>
</cp:coreProperties>
</file>